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uditor Sale - Forfeited Sales\"/>
    </mc:Choice>
  </mc:AlternateContent>
  <xr:revisionPtr revIDLastSave="0" documentId="13_ncr:1_{ADB9FD86-86CC-4A25-8C6C-F47BC6379A67}" xr6:coauthVersionLast="47" xr6:coauthVersionMax="47" xr10:uidLastSave="{00000000-0000-0000-0000-000000000000}"/>
  <bookViews>
    <workbookView xWindow="-120" yWindow="-120" windowWidth="29040" windowHeight="15840" tabRatio="821" firstSheet="4" activeTab="21" xr2:uid="{00000000-000D-0000-FFFF-FFFF00000000}"/>
  </bookViews>
  <sheets>
    <sheet name="5-22-09" sheetId="7" r:id="rId1"/>
    <sheet name="5-18-12" sheetId="6" r:id="rId2"/>
    <sheet name="10-19-12" sheetId="5" r:id="rId3"/>
    <sheet name="5-17-13" sheetId="4" r:id="rId4"/>
    <sheet name="10-18-13" sheetId="3" r:id="rId5"/>
    <sheet name="5-30-14" sheetId="1" r:id="rId6"/>
    <sheet name="10-24-14" sheetId="2" r:id="rId7"/>
    <sheet name="10-16-15" sheetId="8" r:id="rId8"/>
    <sheet name="5-27-16" sheetId="9" r:id="rId9"/>
    <sheet name="10-28-16" sheetId="11" r:id="rId10"/>
    <sheet name="5-19-17" sheetId="12" r:id="rId11"/>
    <sheet name="10-27-17" sheetId="13" r:id="rId12"/>
    <sheet name="5-18-18" sheetId="14" r:id="rId13"/>
    <sheet name="10-19-18" sheetId="15" r:id="rId14"/>
    <sheet name="5-10-19" sheetId="16" r:id="rId15"/>
    <sheet name="10-18-19" sheetId="17" r:id="rId16"/>
    <sheet name="9-18-2020" sheetId="18" r:id="rId17"/>
    <sheet name="5-14-2021" sheetId="19" r:id="rId18"/>
    <sheet name="10-29-2021" sheetId="20" r:id="rId19"/>
    <sheet name="5-27-2022" sheetId="21" r:id="rId20"/>
    <sheet name="10-28-2022" sheetId="22" r:id="rId21"/>
    <sheet name="5-26-2023" sheetId="2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3" l="1"/>
  <c r="J9" i="23" s="1"/>
  <c r="I8" i="23"/>
  <c r="J8" i="23" s="1"/>
  <c r="I7" i="23"/>
  <c r="J7" i="23" s="1"/>
  <c r="I6" i="23"/>
  <c r="J6" i="23" s="1"/>
  <c r="I5" i="23"/>
  <c r="J5" i="23" s="1"/>
  <c r="I4" i="23"/>
  <c r="J4" i="23" s="1"/>
  <c r="I3" i="23"/>
  <c r="H3" i="23"/>
  <c r="J3" i="23" l="1"/>
  <c r="I12" i="22" l="1"/>
  <c r="J12" i="22" s="1"/>
  <c r="I11" i="22"/>
  <c r="J11" i="22" s="1"/>
  <c r="I10" i="22"/>
  <c r="J10" i="22" s="1"/>
  <c r="I9" i="22"/>
  <c r="J9" i="22" s="1"/>
  <c r="I8" i="22"/>
  <c r="J8" i="22" s="1"/>
  <c r="I7" i="22"/>
  <c r="J7" i="22" s="1"/>
  <c r="I6" i="22"/>
  <c r="J6" i="22" s="1"/>
  <c r="I5" i="22"/>
  <c r="J5" i="22" s="1"/>
  <c r="I4" i="22"/>
  <c r="J4" i="22" s="1"/>
  <c r="I3" i="22"/>
  <c r="H3" i="22"/>
  <c r="J3" i="22" s="1"/>
  <c r="I12" i="21" l="1"/>
  <c r="J12" i="21" s="1"/>
  <c r="I11" i="21"/>
  <c r="J11" i="21" s="1"/>
  <c r="I10" i="21"/>
  <c r="J10" i="21" s="1"/>
  <c r="I9" i="21"/>
  <c r="J9" i="21" s="1"/>
  <c r="I8" i="21"/>
  <c r="J8" i="21" s="1"/>
  <c r="I7" i="21"/>
  <c r="J7" i="21" s="1"/>
  <c r="I6" i="21"/>
  <c r="J6" i="21" s="1"/>
  <c r="I5" i="21"/>
  <c r="J5" i="21" s="1"/>
  <c r="I4" i="21"/>
  <c r="H4" i="21"/>
  <c r="I5" i="20"/>
  <c r="J5" i="20" s="1"/>
  <c r="I4" i="20"/>
  <c r="J4" i="20" s="1"/>
  <c r="I3" i="20"/>
  <c r="H3" i="20"/>
  <c r="J4" i="21" l="1"/>
  <c r="J3" i="20"/>
  <c r="I13" i="19"/>
  <c r="J13" i="19" s="1"/>
  <c r="I12" i="19"/>
  <c r="J12" i="19" s="1"/>
  <c r="I11" i="19"/>
  <c r="J11" i="19" s="1"/>
  <c r="I9" i="19"/>
  <c r="J9" i="19" s="1"/>
  <c r="I8" i="19"/>
  <c r="J8" i="19" s="1"/>
  <c r="I7" i="19"/>
  <c r="J7" i="19" s="1"/>
  <c r="I6" i="19"/>
  <c r="J6" i="19" s="1"/>
  <c r="I5" i="19"/>
  <c r="J5" i="19" s="1"/>
  <c r="J4" i="19"/>
  <c r="I4" i="19"/>
  <c r="I3" i="19"/>
  <c r="J3" i="19" s="1"/>
  <c r="I26" i="18" l="1"/>
  <c r="J26" i="18" s="1"/>
  <c r="K26" i="18" s="1"/>
  <c r="I25" i="18"/>
  <c r="J25" i="18" s="1"/>
  <c r="I24" i="18"/>
  <c r="J24" i="18" s="1"/>
  <c r="K24" i="18" s="1"/>
  <c r="I22" i="18"/>
  <c r="J22" i="18" s="1"/>
  <c r="K22" i="18" s="1"/>
  <c r="I21" i="18"/>
  <c r="J21" i="18" s="1"/>
  <c r="I20" i="18"/>
  <c r="J20" i="18" s="1"/>
  <c r="I19" i="18"/>
  <c r="J19" i="18" s="1"/>
  <c r="K19" i="18" s="1"/>
  <c r="I18" i="18"/>
  <c r="J18" i="18" s="1"/>
  <c r="H17" i="18"/>
  <c r="O16" i="18"/>
  <c r="A16" i="18"/>
  <c r="I14" i="18"/>
  <c r="J14" i="18" s="1"/>
  <c r="I13" i="18"/>
  <c r="J13" i="18" s="1"/>
  <c r="K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I23" i="17" l="1"/>
  <c r="J23" i="17" s="1"/>
  <c r="I22" i="17"/>
  <c r="J22" i="17" s="1"/>
  <c r="I21" i="17"/>
  <c r="J21" i="17" s="1"/>
  <c r="I20" i="17"/>
  <c r="J20" i="17" s="1"/>
  <c r="I19" i="17"/>
  <c r="J19" i="17" s="1"/>
  <c r="I18" i="17"/>
  <c r="J18" i="17" s="1"/>
  <c r="H17" i="17"/>
  <c r="O16" i="17"/>
  <c r="A16" i="17"/>
  <c r="I14" i="17"/>
  <c r="J14" i="17" s="1"/>
  <c r="J13" i="17"/>
  <c r="I13" i="17"/>
  <c r="I12" i="17"/>
  <c r="J12" i="17" s="1"/>
  <c r="I11" i="17"/>
  <c r="J11" i="17" s="1"/>
  <c r="I10" i="17"/>
  <c r="J10" i="17" s="1"/>
  <c r="I9" i="17"/>
  <c r="J9" i="17" s="1"/>
  <c r="I8" i="17"/>
  <c r="J8" i="17" s="1"/>
  <c r="I7" i="17"/>
  <c r="J7" i="17" s="1"/>
  <c r="I6" i="17"/>
  <c r="J6" i="17" s="1"/>
  <c r="I5" i="17"/>
  <c r="J5" i="17" s="1"/>
  <c r="I4" i="17"/>
  <c r="J4" i="17" s="1"/>
  <c r="I3" i="17"/>
  <c r="J3" i="17" s="1"/>
  <c r="I20" i="16" l="1"/>
  <c r="J20" i="16" s="1"/>
  <c r="I19" i="16"/>
  <c r="J19" i="16" s="1"/>
  <c r="I18" i="16"/>
  <c r="J18" i="16" s="1"/>
  <c r="I17" i="16"/>
  <c r="J17" i="16" s="1"/>
  <c r="I16" i="16"/>
  <c r="J16" i="16" s="1"/>
  <c r="I15" i="16"/>
  <c r="J15" i="16" s="1"/>
  <c r="I14" i="16"/>
  <c r="J14" i="16" s="1"/>
  <c r="I13" i="16"/>
  <c r="J13" i="16" s="1"/>
  <c r="I12" i="16"/>
  <c r="J12" i="16" s="1"/>
  <c r="I11" i="16"/>
  <c r="J11" i="16" s="1"/>
  <c r="I10" i="16"/>
  <c r="J10" i="16" s="1"/>
  <c r="I9" i="16"/>
  <c r="J9" i="16" s="1"/>
  <c r="I8" i="16"/>
  <c r="J8" i="16" s="1"/>
  <c r="I7" i="16"/>
  <c r="J7" i="16" s="1"/>
  <c r="I6" i="16"/>
  <c r="J6" i="16" s="1"/>
  <c r="I5" i="16"/>
  <c r="J5" i="16" s="1"/>
  <c r="I4" i="16"/>
  <c r="J4" i="16" s="1"/>
  <c r="I3" i="16"/>
  <c r="J3" i="16" s="1"/>
  <c r="I17" i="15" l="1"/>
  <c r="J17" i="15" s="1"/>
  <c r="I16" i="15"/>
  <c r="J16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4" i="15"/>
  <c r="J4" i="15" s="1"/>
  <c r="I3" i="15"/>
  <c r="J3" i="15" s="1"/>
  <c r="I26" i="14" l="1"/>
  <c r="J26" i="14" s="1"/>
  <c r="I25" i="14"/>
  <c r="J25" i="14" s="1"/>
  <c r="I24" i="14"/>
  <c r="J24" i="14" s="1"/>
  <c r="I23" i="14"/>
  <c r="J23" i="14" s="1"/>
  <c r="I22" i="14"/>
  <c r="J22" i="14" s="1"/>
  <c r="I21" i="14"/>
  <c r="J21" i="14" s="1"/>
  <c r="I20" i="14"/>
  <c r="J20" i="14" s="1"/>
  <c r="I19" i="14"/>
  <c r="J19" i="14" s="1"/>
  <c r="I18" i="14"/>
  <c r="J18" i="14" s="1"/>
  <c r="I17" i="14"/>
  <c r="J17" i="14" s="1"/>
  <c r="I16" i="14"/>
  <c r="J16" i="14" s="1"/>
  <c r="I15" i="14"/>
  <c r="J15" i="14" s="1"/>
  <c r="I14" i="14"/>
  <c r="J14" i="14" s="1"/>
  <c r="I13" i="14"/>
  <c r="J13" i="14" s="1"/>
  <c r="I12" i="14"/>
  <c r="J12" i="14" s="1"/>
  <c r="I8" i="14"/>
  <c r="J8" i="14" s="1"/>
  <c r="I7" i="14"/>
  <c r="J7" i="14" s="1"/>
  <c r="I6" i="14"/>
  <c r="J6" i="14" s="1"/>
  <c r="I4" i="14"/>
  <c r="J4" i="14" s="1"/>
  <c r="I3" i="14"/>
  <c r="J3" i="14" s="1"/>
  <c r="I10" i="13" l="1"/>
  <c r="J10" i="13" s="1"/>
  <c r="I9" i="13"/>
  <c r="J9" i="13" s="1"/>
  <c r="I8" i="13"/>
  <c r="J8" i="13" s="1"/>
  <c r="I7" i="13"/>
  <c r="J7" i="13" s="1"/>
  <c r="I6" i="13"/>
  <c r="J6" i="13" s="1"/>
  <c r="I5" i="13"/>
  <c r="J5" i="13" s="1"/>
  <c r="I4" i="13"/>
  <c r="J4" i="13" s="1"/>
  <c r="I3" i="13"/>
  <c r="J3" i="13" s="1"/>
  <c r="I15" i="12" l="1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7" i="12"/>
  <c r="J7" i="12" s="1"/>
  <c r="I5" i="12"/>
  <c r="J5" i="12" s="1"/>
  <c r="I4" i="12"/>
  <c r="J4" i="12" s="1"/>
  <c r="I3" i="12"/>
  <c r="J3" i="12" s="1"/>
  <c r="H10" i="11" l="1"/>
  <c r="I10" i="11" s="1"/>
  <c r="H9" i="11"/>
  <c r="I9" i="11" s="1"/>
  <c r="H8" i="11"/>
  <c r="I8" i="11" s="1"/>
  <c r="H7" i="11"/>
  <c r="I7" i="11" s="1"/>
  <c r="H6" i="11"/>
  <c r="I6" i="11" s="1"/>
  <c r="H5" i="11"/>
  <c r="I5" i="11" s="1"/>
  <c r="H4" i="11"/>
  <c r="I4" i="11" s="1"/>
  <c r="H3" i="11"/>
  <c r="I3" i="11" s="1"/>
  <c r="H24" i="9" l="1"/>
  <c r="I24" i="9" s="1"/>
  <c r="H23" i="9"/>
  <c r="I23" i="9" s="1"/>
  <c r="H22" i="9"/>
  <c r="I22" i="9" s="1"/>
  <c r="H21" i="9"/>
  <c r="I21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H5" i="9"/>
  <c r="I5" i="9" s="1"/>
  <c r="H4" i="9"/>
  <c r="I4" i="9" s="1"/>
  <c r="H3" i="9"/>
  <c r="I3" i="9" s="1"/>
  <c r="H12" i="8" l="1"/>
  <c r="I12" i="8" s="1"/>
  <c r="H11" i="8"/>
  <c r="I11" i="8" s="1"/>
  <c r="H10" i="8"/>
  <c r="I10" i="8" s="1"/>
  <c r="H9" i="8"/>
  <c r="G9" i="8"/>
  <c r="I9" i="8" s="1"/>
  <c r="H8" i="8"/>
  <c r="I8" i="8" s="1"/>
  <c r="H7" i="8"/>
  <c r="I7" i="8" s="1"/>
  <c r="H6" i="8"/>
  <c r="I6" i="8" s="1"/>
  <c r="H5" i="8"/>
  <c r="I5" i="8" s="1"/>
  <c r="H4" i="8"/>
  <c r="I4" i="8" s="1"/>
  <c r="I6" i="7" l="1"/>
  <c r="I7" i="7"/>
  <c r="I8" i="7"/>
  <c r="I9" i="7"/>
  <c r="I10" i="7"/>
  <c r="I14" i="7"/>
  <c r="I16" i="7"/>
  <c r="I18" i="7"/>
  <c r="I4" i="7"/>
  <c r="I4" i="2" s="1"/>
  <c r="I5" i="7"/>
  <c r="I18" i="6" l="1"/>
  <c r="I17" i="6"/>
  <c r="I16" i="6"/>
  <c r="I15" i="6"/>
  <c r="I14" i="6"/>
  <c r="I13" i="6"/>
  <c r="I12" i="6"/>
  <c r="I11" i="6"/>
  <c r="I10" i="6"/>
  <c r="I9" i="6"/>
  <c r="I8" i="6"/>
  <c r="I6" i="6"/>
  <c r="I5" i="6"/>
  <c r="I4" i="6"/>
  <c r="J4" i="6" s="1"/>
  <c r="I23" i="3" l="1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H4" i="2"/>
  <c r="H5" i="2"/>
  <c r="I5" i="2"/>
  <c r="H6" i="2"/>
  <c r="I6" i="2" s="1"/>
  <c r="H7" i="2"/>
  <c r="I7" i="2"/>
  <c r="H8" i="2"/>
  <c r="I8" i="2" s="1"/>
  <c r="H9" i="2"/>
  <c r="I9" i="2"/>
  <c r="H10" i="2"/>
  <c r="I10" i="2" s="1"/>
</calcChain>
</file>

<file path=xl/sharedStrings.xml><?xml version="1.0" encoding="utf-8"?>
<sst xmlns="http://schemas.openxmlformats.org/spreadsheetml/2006/main" count="3519" uniqueCount="1213">
  <si>
    <t>CURRENT LIST OF FORFEITED PARCELS          DATE:  MAY 30, 2014 AT 10:30AM      COSHOCTON COUNTY COURTHOUSE</t>
  </si>
  <si>
    <t>Rev. 6/11/14</t>
  </si>
  <si>
    <t>ITEM 
#</t>
  </si>
  <si>
    <t>PARCEL #</t>
  </si>
  <si>
    <t>PREVIOUS OWNER</t>
  </si>
  <si>
    <t>PROPERTY ADDRESS</t>
  </si>
  <si>
    <t>CASE NUMBER</t>
  </si>
  <si>
    <t>FAIR MARKET VALUE</t>
  </si>
  <si>
    <t>5/1/14
TAX DUE *</t>
  </si>
  <si>
    <t>COSTS *</t>
  </si>
  <si>
    <t>LOWEST
BID  *</t>
  </si>
  <si>
    <t>ACTUAL
BID</t>
  </si>
  <si>
    <t>SUCCESSFUL 
BIDDER</t>
  </si>
  <si>
    <t>BACK-UP
BIDDER</t>
  </si>
  <si>
    <t>STATUS</t>
  </si>
  <si>
    <t>Scheduled
For Sale</t>
  </si>
  <si>
    <t>016-00000186-00</t>
  </si>
  <si>
    <t>203 East Main Street
Warsaw Corp</t>
  </si>
  <si>
    <t>11-CI-0729</t>
  </si>
  <si>
    <t>Steven
Kempf</t>
  </si>
  <si>
    <t>Allen
Bickel</t>
  </si>
  <si>
    <t>Forfeited 
to Ohio</t>
  </si>
  <si>
    <t>043-00000142-00</t>
  </si>
  <si>
    <t>Gail 
Atkinson</t>
  </si>
  <si>
    <t>Fair Avenue,
Coshocton Corp</t>
  </si>
  <si>
    <t>11-CI-0720</t>
  </si>
  <si>
    <t>Janet
Boney</t>
  </si>
  <si>
    <t>043-00003422-00</t>
  </si>
  <si>
    <t>Betsy A.
Milligan</t>
  </si>
  <si>
    <t>North 15th St,
Coshocton Corp.</t>
  </si>
  <si>
    <t>11-CI-0602</t>
  </si>
  <si>
    <t>William
Stubbs</t>
  </si>
  <si>
    <t>043-00003646-00</t>
  </si>
  <si>
    <t>Edgar O
Selby</t>
  </si>
  <si>
    <t>Pine Street, 
Coshocton Corp</t>
  </si>
  <si>
    <t>12-CI-0113</t>
  </si>
  <si>
    <t>043-00003647-00</t>
  </si>
  <si>
    <t>043-00003648-00</t>
  </si>
  <si>
    <t>Pine Street, 
Coshocton Crop</t>
  </si>
  <si>
    <t>037-00000438-00</t>
  </si>
  <si>
    <t>Ruby K 
Powelson</t>
  </si>
  <si>
    <t>Willow Street,
Tuscarawas Township</t>
  </si>
  <si>
    <t>11-CI-0530</t>
  </si>
  <si>
    <t>Charles
Archer</t>
  </si>
  <si>
    <t>043-00000751-00</t>
  </si>
  <si>
    <t>MAN
 Rentals</t>
  </si>
  <si>
    <t>North 9th Street
Coshocton Corp</t>
  </si>
  <si>
    <t>12-CI-0173</t>
  </si>
  <si>
    <t>Wayne
Waite</t>
  </si>
  <si>
    <t>Michael
Guinther</t>
  </si>
  <si>
    <t>043-00001735-00</t>
  </si>
  <si>
    <t>Carol J 
Dobson</t>
  </si>
  <si>
    <t>381 South 9th Street
Coshocton Corp</t>
  </si>
  <si>
    <t>11-CI-0576</t>
  </si>
  <si>
    <t>Darlene
Saylor</t>
  </si>
  <si>
    <t>Rusty
Dreher</t>
  </si>
  <si>
    <t>043-00001708-00</t>
  </si>
  <si>
    <t>Anthony Clift,
 et al.</t>
  </si>
  <si>
    <t>307 South Lawn Ave.
Coshocton Corp</t>
  </si>
  <si>
    <t>13-CI-0158</t>
  </si>
  <si>
    <t>Jerry
Yoder</t>
  </si>
  <si>
    <t>William
Tennant</t>
  </si>
  <si>
    <t>043-00004138-00</t>
  </si>
  <si>
    <t>B. Elise Miller,
 et al.</t>
  </si>
  <si>
    <t>238 Main Street
Coshocton Corp</t>
  </si>
  <si>
    <t>13-CI-0026</t>
  </si>
  <si>
    <t>John
Wilson</t>
  </si>
  <si>
    <t>043-00000186-00</t>
  </si>
  <si>
    <t>331 Main Street
Coshoton Corp</t>
  </si>
  <si>
    <t>13-CI-0030</t>
  </si>
  <si>
    <t>043-00001538-00</t>
  </si>
  <si>
    <t>MAN Rentals LLC</t>
  </si>
  <si>
    <t>733 Cambridge Road
Coshocton Corp</t>
  </si>
  <si>
    <t>13-CI-0168</t>
  </si>
  <si>
    <t>* Subject to change.</t>
  </si>
  <si>
    <t>Amerus Financial Corporation, et al.</t>
  </si>
  <si>
    <t>CURRENT LIST OF FORFEITED PARCELS          DATE:  OCTOBER 24, 2014 AT 10:30AM      COSHOCTON COUNTY COURTHOUSE</t>
  </si>
  <si>
    <t>Rev. 10/1/14</t>
  </si>
  <si>
    <t>10/1/14
TAX DUE *</t>
  </si>
  <si>
    <t>October 24, 2014</t>
  </si>
  <si>
    <t>043-00002101-00</t>
  </si>
  <si>
    <t>Rebecca A 
Means</t>
  </si>
  <si>
    <t>North 6th Street
Coshocton Corp</t>
  </si>
  <si>
    <t>14-CI-0036</t>
  </si>
  <si>
    <t>043-00002335-00</t>
  </si>
  <si>
    <t>Gregory E
Morris</t>
  </si>
  <si>
    <t>South 6th Street
Coshocton Corp</t>
  </si>
  <si>
    <t>14-CI-0037</t>
  </si>
  <si>
    <t>043-00002336-00</t>
  </si>
  <si>
    <t>511 South 6th Street
Coshocton Corp</t>
  </si>
  <si>
    <r>
      <t xml:space="preserve">018-00030
</t>
    </r>
    <r>
      <rPr>
        <sz val="8"/>
        <rFont val="Calibri"/>
        <family val="2"/>
      </rPr>
      <t>Manufactured Home</t>
    </r>
  </si>
  <si>
    <t>Mike J Weekley</t>
  </si>
  <si>
    <r>
      <t xml:space="preserve">53604 TR 508
</t>
    </r>
    <r>
      <rPr>
        <sz val="10"/>
        <rFont val="Calibri"/>
        <family val="2"/>
      </rPr>
      <t>Lafayette - Ridgewood</t>
    </r>
  </si>
  <si>
    <t>14-CI-0206</t>
  </si>
  <si>
    <t>CURRENT LIST OF FORFEITED PARCELS          OCTOBER 18, 2013        Coshocton County Courthouse</t>
  </si>
  <si>
    <t>9/30/13 TAX DUE *</t>
  </si>
  <si>
    <t>LOWEST
BID *</t>
  </si>
  <si>
    <t>Fair Avenue,
Coshocton</t>
  </si>
  <si>
    <t>Pine Street, 
Coshocton</t>
  </si>
  <si>
    <t>12-CI-0114</t>
  </si>
  <si>
    <t>12-CI-0115</t>
  </si>
  <si>
    <t>Willow Street,
Tuscarawas</t>
  </si>
  <si>
    <t>032-00000073-00</t>
  </si>
  <si>
    <t>SE
Coggins</t>
  </si>
  <si>
    <t>County Road 3
Pike Twp</t>
  </si>
  <si>
    <t>12-CI-0253</t>
  </si>
  <si>
    <t>Johnathan
Smith</t>
  </si>
  <si>
    <t>043-00004128-00</t>
  </si>
  <si>
    <t>Da Xiong
 Zhang</t>
  </si>
  <si>
    <t>134 South 6th St, Coshocton Corp</t>
  </si>
  <si>
    <t>12-CI-0123</t>
  </si>
  <si>
    <t>Carol Elliott</t>
  </si>
  <si>
    <t>Mike
Manning</t>
  </si>
  <si>
    <t>043-00001881-00</t>
  </si>
  <si>
    <t>MAN 
Rentals</t>
  </si>
  <si>
    <t>Wilson Avenue, Coshocton Corp</t>
  </si>
  <si>
    <t>12-CI-0186</t>
  </si>
  <si>
    <t>Steve
Jones</t>
  </si>
  <si>
    <t>Nina
Guilliams</t>
  </si>
  <si>
    <t>043-00001882-00</t>
  </si>
  <si>
    <t>______</t>
  </si>
  <si>
    <t>043-00001883-00</t>
  </si>
  <si>
    <t>043-00001452-00</t>
  </si>
  <si>
    <t>12-CI-0172</t>
  </si>
  <si>
    <t>043-15104384-01</t>
  </si>
  <si>
    <t>JW
Bendure</t>
  </si>
  <si>
    <t>Oak Avenue, Coshocton Corp</t>
  </si>
  <si>
    <t>12-CI-0252</t>
  </si>
  <si>
    <t>038-00000020-00</t>
  </si>
  <si>
    <t>Roxie
Caton</t>
  </si>
  <si>
    <t>Township Road 287
Virginia Twp</t>
  </si>
  <si>
    <t>11-CI-0282</t>
  </si>
  <si>
    <t>043-00002117-00</t>
  </si>
  <si>
    <t>510 South 8th Street
Coshocton Corp</t>
  </si>
  <si>
    <t>12-CI-0171</t>
  </si>
  <si>
    <t>013-00001761-00</t>
  </si>
  <si>
    <t>757 State Route 541
Jackson Twp</t>
  </si>
  <si>
    <t>12-CI-0180</t>
  </si>
  <si>
    <t>013-00001762-00</t>
  </si>
  <si>
    <t>State Route 541
Jackson Twp</t>
  </si>
  <si>
    <t>12-CI-0576</t>
  </si>
  <si>
    <t>037-15100068-01</t>
  </si>
  <si>
    <t>Muford D
Custer</t>
  </si>
  <si>
    <t>North Street
Tuscarawas</t>
  </si>
  <si>
    <t>12-CI-0462</t>
  </si>
  <si>
    <t>CURRENT LIST OF FORFEITED PARCELS          MAY 17, 2013 at 10:30am        Coshocton County Courthouse</t>
  </si>
  <si>
    <t>5/16/13
TAX DUE</t>
  </si>
  <si>
    <t>043-00002084-00</t>
  </si>
  <si>
    <t>Patricia Giese</t>
  </si>
  <si>
    <t>333 N. 15th St., Coshocton</t>
  </si>
  <si>
    <t>11-CI-0623</t>
  </si>
  <si>
    <t>Denny
Balo</t>
  </si>
  <si>
    <t>Bryant
Lamp</t>
  </si>
  <si>
    <t>043-00002082-00</t>
  </si>
  <si>
    <t>N. 15th Street, Coshocton</t>
  </si>
  <si>
    <t>043-00002083-00</t>
  </si>
  <si>
    <t>043-00002087-00</t>
  </si>
  <si>
    <t>043-00002088-00</t>
  </si>
  <si>
    <t>043-00002089-00</t>
  </si>
  <si>
    <t>Habitat</t>
  </si>
  <si>
    <t>043-00002090-00</t>
  </si>
  <si>
    <t>Mike
Dile</t>
  </si>
  <si>
    <t>043-00002091-00</t>
  </si>
  <si>
    <t>043-00002094-00</t>
  </si>
  <si>
    <t>043-00002095-00</t>
  </si>
  <si>
    <t>043-00002096-00</t>
  </si>
  <si>
    <t>043-00002097-00</t>
  </si>
  <si>
    <t>043-15127025-00</t>
  </si>
  <si>
    <t>Willaberta Stevenson</t>
  </si>
  <si>
    <t>Skyline Height, Coshocton</t>
  </si>
  <si>
    <t>11-CI-0587</t>
  </si>
  <si>
    <t>James
Ames</t>
  </si>
  <si>
    <t>Amerus Financial</t>
  </si>
  <si>
    <t>203 E Main St, Warsaw Corp</t>
  </si>
  <si>
    <t>11-CI 0729</t>
  </si>
  <si>
    <t>Gail
Atkinson</t>
  </si>
  <si>
    <t>Fair Ave, Coshocton</t>
  </si>
  <si>
    <t>11-CI 0720</t>
  </si>
  <si>
    <t>Cathy
Dile</t>
  </si>
  <si>
    <t>035-00000440-00</t>
  </si>
  <si>
    <t>George Lafferty</t>
  </si>
  <si>
    <t>2211 S 9th St, Tuscarawas</t>
  </si>
  <si>
    <t>11-CI-0277</t>
  </si>
  <si>
    <t>William
Albert</t>
  </si>
  <si>
    <t>Mary
Mason</t>
  </si>
  <si>
    <t>035-00000439-00</t>
  </si>
  <si>
    <t>S 9th St, Tuscarawas</t>
  </si>
  <si>
    <t>040-00000030-00</t>
  </si>
  <si>
    <t>James
Dunn</t>
  </si>
  <si>
    <t>18516 CR 18, Washington</t>
  </si>
  <si>
    <t>11-CI-0614</t>
  </si>
  <si>
    <t>Darrel
Lanham</t>
  </si>
  <si>
    <t>Tony
Jaqua</t>
  </si>
  <si>
    <t>026-02301041-00</t>
  </si>
  <si>
    <t>Mark Krownapple</t>
  </si>
  <si>
    <t>TR 336, 
Monroe</t>
  </si>
  <si>
    <t>11-CI-0715</t>
  </si>
  <si>
    <t>Richard
Krownapple</t>
  </si>
  <si>
    <t>Larry
Hagy</t>
  </si>
  <si>
    <t>023-00000097-00</t>
  </si>
  <si>
    <t>Timothy Raber</t>
  </si>
  <si>
    <t>SR 212, 
Mill Creek</t>
  </si>
  <si>
    <t>11-CI-0723</t>
  </si>
  <si>
    <t>Tom
Mizer</t>
  </si>
  <si>
    <t>Lester
Troyer</t>
  </si>
  <si>
    <t>032-00000130-18</t>
  </si>
  <si>
    <t>Benjamin
Rayburn</t>
  </si>
  <si>
    <t>TR 72, 
Pike</t>
  </si>
  <si>
    <t>11-CI-0726</t>
  </si>
  <si>
    <t>Shirley
Nethers</t>
  </si>
  <si>
    <t>035-00000044-00</t>
  </si>
  <si>
    <t>Levi
Beachy</t>
  </si>
  <si>
    <t>Otsego Ave, 
Tuscarawas</t>
  </si>
  <si>
    <t>12-CI-0068</t>
  </si>
  <si>
    <t>005-00000168-00</t>
  </si>
  <si>
    <t>CR 343, 
Clark</t>
  </si>
  <si>
    <t>12-CI-0080</t>
  </si>
  <si>
    <t>James
Wagner</t>
  </si>
  <si>
    <t>Betsy A Milligan</t>
  </si>
  <si>
    <t>North 15th St, Coshocton</t>
  </si>
  <si>
    <t>043-00002304-00</t>
  </si>
  <si>
    <t>Margaret Sheely</t>
  </si>
  <si>
    <t>534 Wilson Ave, Coshocton</t>
  </si>
  <si>
    <t>11-CI-0494</t>
  </si>
  <si>
    <t>James
Henry</t>
  </si>
  <si>
    <t>043-00006543-00</t>
  </si>
  <si>
    <t>Joseph Raach</t>
  </si>
  <si>
    <t>Mill Street, 
Coshocton</t>
  </si>
  <si>
    <t>11-CI-0500</t>
  </si>
  <si>
    <t>Bob
Fritz</t>
  </si>
  <si>
    <t>021-00000684-00</t>
  </si>
  <si>
    <t>Ronald R
Russell</t>
  </si>
  <si>
    <t>TR 146, 
Linton</t>
  </si>
  <si>
    <t>11-CI-0618</t>
  </si>
  <si>
    <t>Aden
Miller Jr</t>
  </si>
  <si>
    <t>043-00000747-00</t>
  </si>
  <si>
    <t>Bryce Peters
Financial</t>
  </si>
  <si>
    <t>632 Fair Ave, 
Coshocton</t>
  </si>
  <si>
    <t>11-CI-0692</t>
  </si>
  <si>
    <t>Sue
Tubbs</t>
  </si>
  <si>
    <t>043-00003329-00</t>
  </si>
  <si>
    <t>David C
Grier</t>
  </si>
  <si>
    <t>John Street, 
Coshocton</t>
  </si>
  <si>
    <t>12-CI-0040</t>
  </si>
  <si>
    <t>043-00000146-00</t>
  </si>
  <si>
    <t>Gary L
Murray</t>
  </si>
  <si>
    <t>1137 Orchard St, 
Coshocton</t>
  </si>
  <si>
    <t>12-CI-0150</t>
  </si>
  <si>
    <t>John
Hill</t>
  </si>
  <si>
    <t>006-00000023-00</t>
  </si>
  <si>
    <t>Dale
 Snyder</t>
  </si>
  <si>
    <t>44897 CR 19, 
Clark</t>
  </si>
  <si>
    <t>12-CI-0170</t>
  </si>
  <si>
    <t>Ben
Cochran</t>
  </si>
  <si>
    <t>026-00000542-00</t>
  </si>
  <si>
    <t>Paul
Strouse</t>
  </si>
  <si>
    <t>12-CI-0698</t>
  </si>
  <si>
    <t>021-22401004-01</t>
  </si>
  <si>
    <t>Stephen
Starkey</t>
  </si>
  <si>
    <t>TR 15, 
Linton</t>
  </si>
  <si>
    <t>12-CI-0084</t>
  </si>
  <si>
    <t>040-19200049-01</t>
  </si>
  <si>
    <t>C A Miller</t>
  </si>
  <si>
    <t>TR 455, 
Washington</t>
  </si>
  <si>
    <t>12-CI-0046</t>
  </si>
  <si>
    <t>Curtis
Lee</t>
  </si>
  <si>
    <t>020-00000138-00</t>
  </si>
  <si>
    <t>Scott M 
Elder</t>
  </si>
  <si>
    <t>217 E. Railroad
Street, West
 Lafayette Corp</t>
  </si>
  <si>
    <t>11-CI-0683</t>
  </si>
  <si>
    <t>Mark
Rettos</t>
  </si>
  <si>
    <t>CURRENT LIST OF FORFEITED PARCELS          OCTOBER 19, 2012          10:30am          Coshocton County Courthouse</t>
  </si>
  <si>
    <t>DESCRIPTION</t>
  </si>
  <si>
    <t>10/15/12
TAX DUE</t>
  </si>
  <si>
    <t>COSTS</t>
  </si>
  <si>
    <t>LOWEST
BID</t>
  </si>
  <si>
    <t>SUCCESSFUL BIDDER</t>
  </si>
  <si>
    <t>020-00000566-00</t>
  </si>
  <si>
    <t>E. Stewart Ave., West Lafayette</t>
  </si>
  <si>
    <t>L &amp; S, Inc.</t>
  </si>
  <si>
    <t>09-CI-0226</t>
  </si>
  <si>
    <t>Shane
Klein</t>
  </si>
  <si>
    <t>Forfeited to Ohio; Offered at Auditor's Sale &amp; received no bid 6/3/2011, 5/18/2012</t>
  </si>
  <si>
    <t>10/19/12</t>
  </si>
  <si>
    <t>029-00000833-00</t>
  </si>
  <si>
    <t>23428 SR 751, Oxford Twp.</t>
  </si>
  <si>
    <t>Brad A. Nolan</t>
  </si>
  <si>
    <t>11-CI-0230</t>
  </si>
  <si>
    <t>Dave
Miller</t>
  </si>
  <si>
    <t>Forfeited to Ohio</t>
  </si>
  <si>
    <t>*3</t>
  </si>
  <si>
    <t>043-00001013-00</t>
  </si>
  <si>
    <t>308 S. 9th St., Cosh.</t>
  </si>
  <si>
    <t>James E. Cummings</t>
  </si>
  <si>
    <t>11-CI-0364</t>
  </si>
  <si>
    <t>Jim
Streets</t>
  </si>
  <si>
    <t>Don
Howell</t>
  </si>
  <si>
    <t>Forfeited to Ohio; Offered at Auditor's Sale &amp; received no bid 5/18/2012</t>
  </si>
  <si>
    <t>043-00005439-00</t>
  </si>
  <si>
    <t>Fairy Falls Drive, Cosh.</t>
  </si>
  <si>
    <t>Paul
Miller</t>
  </si>
  <si>
    <t>11-CI-0369</t>
  </si>
  <si>
    <t>Robert
Davis</t>
  </si>
  <si>
    <t>333 N. 15th St., Cosh.</t>
  </si>
  <si>
    <t>TBA</t>
  </si>
  <si>
    <t>5/21 Awaiting Court notification/subdivision petition per ORC 5723.01(A)(3)</t>
  </si>
  <si>
    <t>N. 15th Street, Cosh.</t>
  </si>
  <si>
    <t>043-00001323-00</t>
  </si>
  <si>
    <t>710 S. 5th St., Cosh.</t>
  </si>
  <si>
    <t>Adrien
Felver</t>
  </si>
  <si>
    <t>11-CI-0436</t>
  </si>
  <si>
    <t>Deric
Potts</t>
  </si>
  <si>
    <t>012-00000033-00</t>
  </si>
  <si>
    <t>619 Franklin Ave., Conesville Corp</t>
  </si>
  <si>
    <t>Harold Aronhalt</t>
  </si>
  <si>
    <t>11-CI-0215</t>
  </si>
  <si>
    <t>043-00000070-00</t>
  </si>
  <si>
    <t>532 S. 7th St., Cosh.</t>
  </si>
  <si>
    <t>Beneficial</t>
  </si>
  <si>
    <t>11-CI-0324</t>
  </si>
  <si>
    <t>043-00000566-00</t>
  </si>
  <si>
    <t>Chestnut St., Cosh.</t>
  </si>
  <si>
    <t>Bruce Williamson</t>
  </si>
  <si>
    <t>11-CI-0725</t>
  </si>
  <si>
    <t>Jeff
Hostetler</t>
  </si>
  <si>
    <t>043-00000567-00</t>
  </si>
  <si>
    <t>043-00000568-00</t>
  </si>
  <si>
    <t>043-00000569-00</t>
  </si>
  <si>
    <t>043-00000562-00</t>
  </si>
  <si>
    <t>043-00000571-00</t>
  </si>
  <si>
    <t>043-00000572-00</t>
  </si>
  <si>
    <t>043-00000563-00</t>
  </si>
  <si>
    <t>043-00000570-00</t>
  </si>
  <si>
    <t>043-00000564-00</t>
  </si>
  <si>
    <t>043-00000565-00</t>
  </si>
  <si>
    <t>Skyline Height, Cosh.</t>
  </si>
  <si>
    <t>026-02100068-01</t>
  </si>
  <si>
    <t>TR 330,
Monroe Twp</t>
  </si>
  <si>
    <t>Aaron &amp; Susan Heaton/Jacob Sondles</t>
  </si>
  <si>
    <t>11-CI-0586</t>
  </si>
  <si>
    <t>Scott
Moore</t>
  </si>
  <si>
    <t>038-02020070-01</t>
  </si>
  <si>
    <t>CR 297, 
Virginia Twp</t>
  </si>
  <si>
    <t>Thomas Taylor</t>
  </si>
  <si>
    <t>11-CI-0728</t>
  </si>
  <si>
    <t>043-00001017-00</t>
  </si>
  <si>
    <t>South Lawn Ave, Cosh.</t>
  </si>
  <si>
    <t>Edwin
Amore</t>
  </si>
  <si>
    <t>11-CI-0501</t>
  </si>
  <si>
    <t>018-00001511-00</t>
  </si>
  <si>
    <t>TR 1064,
Lafayette Twp</t>
  </si>
  <si>
    <t>Michael Vansickle</t>
  </si>
  <si>
    <t>11-CI-0731</t>
  </si>
  <si>
    <t>018-00000842-00</t>
  </si>
  <si>
    <t xml:space="preserve">22055 TR 1064, Lafayette Twp </t>
  </si>
  <si>
    <t>018-00000843-00</t>
  </si>
  <si>
    <t>TR 1064, Lafayette Twp</t>
  </si>
  <si>
    <t>018-00000841-00</t>
  </si>
  <si>
    <t>018-00001515-00</t>
  </si>
  <si>
    <t>013-00000747-00</t>
  </si>
  <si>
    <t>TR 284 Coshocton</t>
  </si>
  <si>
    <t>Robin W Taylor</t>
  </si>
  <si>
    <t>11-CI-0506</t>
  </si>
  <si>
    <t>044-00000741-01</t>
  </si>
  <si>
    <t>Cassingham Hollow Drive, Coshocton</t>
  </si>
  <si>
    <t>William Williamson</t>
  </si>
  <si>
    <t>11-CI-0509</t>
  </si>
  <si>
    <t>203 E Main St, Warsaw</t>
  </si>
  <si>
    <t>8/10 Awaiting Court notification/subdivision petition per ORC 5723.01(A)(3)</t>
  </si>
  <si>
    <t>016-00000395-00</t>
  </si>
  <si>
    <t>Mill Street</t>
  </si>
  <si>
    <t>Awaiting Court notification/subdivision petition per ORC 5723.01(A)(3)</t>
  </si>
  <si>
    <t>2211 S 9th St, Coshocton</t>
  </si>
  <si>
    <t>S 9th St, Coshocton</t>
  </si>
  <si>
    <t>8/24 Awaiting Court notification/subdivision petition per ORC 5723.01(A)(3)</t>
  </si>
  <si>
    <t>18516 CR 18, Coshocton</t>
  </si>
  <si>
    <t>TR 336, Warsaw</t>
  </si>
  <si>
    <t>SR 83, Coshocton</t>
  </si>
  <si>
    <t>TR 72, Pike</t>
  </si>
  <si>
    <t>9/21 Awaiting Court notification/subdivision petition per ORC 5723.01(A)(3)</t>
  </si>
  <si>
    <t>CR 343, Clark</t>
  </si>
  <si>
    <t>* This dwelling (043-00001013-00) has been scheduled for demolition  by the City of Coshocton. Contact the Mayors office at 622-1373 for details.</t>
  </si>
  <si>
    <t>CURRENT LIST OF FORFEITED PARCELS (TO BE OFFERED FOR SALE AT AUDITOR'S SALE IN MAY AND OCTOBER OF EACH YEAR IF NEEDED)</t>
  </si>
  <si>
    <t>ITEM #</t>
  </si>
  <si>
    <t>04/25/12 TAX DUE</t>
  </si>
  <si>
    <t>LOWEST BID</t>
  </si>
  <si>
    <t>ACTUAL BID</t>
  </si>
  <si>
    <t>BACK-UP BIDDER</t>
  </si>
  <si>
    <t>READY FOR SALE?</t>
  </si>
  <si>
    <t>CR 17 Bedford Twp Pt 5    1.83 acres</t>
  </si>
  <si>
    <t>E. Stewart Ave., W. Laf.</t>
  </si>
  <si>
    <t>Forfeited to Ohio; Offered at Auditor's Sale 6/3/2011, 2011 No Bid</t>
  </si>
  <si>
    <t>Yes - May 2012</t>
  </si>
  <si>
    <t>020-00000151-00</t>
  </si>
  <si>
    <t>Lisa Mardis</t>
  </si>
  <si>
    <t>W. Main St., W. Laf.</t>
  </si>
  <si>
    <t>11-CI-0092</t>
  </si>
  <si>
    <t>Forfeited to Ohio; To be offered at next Auditor's Sale 5/2012</t>
  </si>
  <si>
    <t>020-00000152-00</t>
  </si>
  <si>
    <t>404 W. Main St., W. Laf.</t>
  </si>
  <si>
    <t>23428 SR 751, Oxf. Twp.</t>
  </si>
  <si>
    <t>Awaiting Court nofication/subdivision petition per ORC 5723.01(A)(3)</t>
  </si>
  <si>
    <t>029-00000842-00</t>
  </si>
  <si>
    <t>John Bache</t>
  </si>
  <si>
    <t>Main St., Orange</t>
  </si>
  <si>
    <t>10-CI-0789</t>
  </si>
  <si>
    <t>029-00000843-00</t>
  </si>
  <si>
    <t>029-00001079-00</t>
  </si>
  <si>
    <t>043-00004416-00</t>
  </si>
  <si>
    <t>Shawn Brink</t>
  </si>
  <si>
    <t>222 N. 6th St., Cosh.</t>
  </si>
  <si>
    <t>11-CI-0222</t>
  </si>
  <si>
    <t>008-00000060-06</t>
  </si>
  <si>
    <t>James D. Grove</t>
  </si>
  <si>
    <t>32681 SR 93, Crawf. Twp.</t>
  </si>
  <si>
    <t>11-CI-0070</t>
  </si>
  <si>
    <t>043-00000086-00</t>
  </si>
  <si>
    <t>Alice Zee Zee Cox</t>
  </si>
  <si>
    <t>Pine St., Cosh.</t>
  </si>
  <si>
    <t>11-CI-0327</t>
  </si>
  <si>
    <t>Paul Miller</t>
  </si>
  <si>
    <t>Fairy Falls Dr., Cosh.</t>
  </si>
  <si>
    <t>043-00003996-00</t>
  </si>
  <si>
    <t>Kelly S. Winner</t>
  </si>
  <si>
    <t>1115 Orchard St., Cosh.</t>
  </si>
  <si>
    <t>11-CI-0374</t>
  </si>
  <si>
    <t>043-00001500-00</t>
  </si>
  <si>
    <t>Lewis Bradford</t>
  </si>
  <si>
    <t>426 S. 9th St., Cosh.</t>
  </si>
  <si>
    <t>11-CI-0360</t>
  </si>
  <si>
    <t>043-00004540-00</t>
  </si>
  <si>
    <t xml:space="preserve">McCru Real Estate LTD </t>
  </si>
  <si>
    <t>344 N. 9th St., Cosh.</t>
  </si>
  <si>
    <t>11-CI-0403</t>
  </si>
  <si>
    <t>Albertson 
Rentals LLC</t>
  </si>
  <si>
    <t>Larry Endsley</t>
  </si>
  <si>
    <t>Dan
Yoder</t>
  </si>
  <si>
    <t>Toby
Davis</t>
  </si>
  <si>
    <t>Mike
Slutz</t>
  </si>
  <si>
    <t>Larry
Endsley</t>
  </si>
  <si>
    <t>John
Blair</t>
  </si>
  <si>
    <t>Donald
Hahn</t>
  </si>
  <si>
    <t>David
Kadri</t>
  </si>
  <si>
    <t>Robert
Knapp</t>
  </si>
  <si>
    <t>AB
Rentals LLC</t>
  </si>
  <si>
    <t>Ervin
Betz</t>
  </si>
  <si>
    <t>Frank
Trull</t>
  </si>
  <si>
    <t>Doug
Oberweiser</t>
  </si>
  <si>
    <t>Victor
Allen</t>
  </si>
  <si>
    <t>Jennifer
Bennet</t>
  </si>
  <si>
    <t>Anthony
Celeschi</t>
  </si>
  <si>
    <t>Derrick
Potts</t>
  </si>
  <si>
    <t>Todd
Endsley</t>
  </si>
  <si>
    <t>Knights of Cols</t>
  </si>
  <si>
    <t>Dennis
Nisely</t>
  </si>
  <si>
    <t>Laural
Moats</t>
  </si>
  <si>
    <t>Tawnya
Wilson</t>
  </si>
  <si>
    <t>Mike
Buckmaster</t>
  </si>
  <si>
    <t>Randy
Walsh</t>
  </si>
  <si>
    <t>Simon
Dudgeon</t>
  </si>
  <si>
    <t>Montgomery
Ward</t>
  </si>
  <si>
    <t>Deana
Guilliams</t>
  </si>
  <si>
    <t>Hickory
Hill</t>
  </si>
  <si>
    <t>CURRENT LIST OF FORFEITED PARCELS          DATE:  MAY 22, 2009 AT 10:30AM      COSHOCTON COUNTY COURTHOUSE</t>
  </si>
  <si>
    <t>003-00000308-00</t>
  </si>
  <si>
    <t>05CI807</t>
  </si>
  <si>
    <t>Woodrow Shaw</t>
  </si>
  <si>
    <t>003-00000309-00</t>
  </si>
  <si>
    <t>TR 56 Bedford Twp Pt 13  0.28 acres</t>
  </si>
  <si>
    <t>003-00000310-00</t>
  </si>
  <si>
    <t>CR 17 Bedford Twp Pt W 1/2 6  0.58 acres</t>
  </si>
  <si>
    <t>013-00000168-00</t>
  </si>
  <si>
    <t>CR 17 Jackson Twp Pt s 1/2 SW   1.11 acres</t>
  </si>
  <si>
    <t>013-00000169-00</t>
  </si>
  <si>
    <t>CR 17 Jackson Twp Pt S 1/2 SW  0.78 acres</t>
  </si>
  <si>
    <t>013-00000170-00</t>
  </si>
  <si>
    <t>CR 17 Jackson Twp Pt SW of SE  0.33 acres</t>
  </si>
  <si>
    <t>018-00000564-00</t>
  </si>
  <si>
    <t>CR 124 Lafayette Twp SE Cor    1.00 acres</t>
  </si>
  <si>
    <t>018-00001049-00</t>
  </si>
  <si>
    <t>Lafayette Twp COAL RIGHTS ONLY  W 1/2 16</t>
  </si>
  <si>
    <t>018-00001050-00</t>
  </si>
  <si>
    <t>Lafayette Twp COAL RIGHTS ONLY Pt  E 1/2 16</t>
  </si>
  <si>
    <t>023-00000009-00</t>
  </si>
  <si>
    <t>SR 83 Millcreek Twp Pt W 1/2 Sec 14 (sec 14 not listed on legal)</t>
  </si>
  <si>
    <t>037-00000119-00</t>
  </si>
  <si>
    <t>038-00000504-00</t>
  </si>
  <si>
    <t>CR 297 Virginia Twp In Lot 41 New Moscow  66 x 132    0.20 acres</t>
  </si>
  <si>
    <t>038-00000505-00</t>
  </si>
  <si>
    <t>17579 CR 297 Virginia Twp In Lot 24 New Moscow 66 x 132   0.20 acres</t>
  </si>
  <si>
    <t>038-00000506-00</t>
  </si>
  <si>
    <t>CR 297 Virginia Twp In Lot 25 New Moscow  66 x 132    0.20 acres</t>
  </si>
  <si>
    <t>07CI0144</t>
  </si>
  <si>
    <t>043-00001885-00</t>
  </si>
  <si>
    <t>309 N 6th St Cosh Corp Pts In Lot 385-386   45x50 each    0.1033 acres</t>
  </si>
  <si>
    <t>06CI084</t>
  </si>
  <si>
    <t>043-00005764-00</t>
  </si>
  <si>
    <t>00CI200</t>
  </si>
  <si>
    <t>22633 CR 1 Tusc Twp Pt Lts 8, 9, &amp; 21 All Lts 10 &amp; 19 
John Woodbridge Addn   8.3989 acres (pt lots 7, 8, &amp; 9 also in legal)</t>
  </si>
  <si>
    <t>Chestnut Street Cosh Corp Pt 11 E Chestnut St  Area 0.229 acres</t>
  </si>
  <si>
    <t>John D Blair</t>
  </si>
  <si>
    <t>Woodrow Shaw 
&amp; Paul Gobel</t>
  </si>
  <si>
    <t>Betty Milligan</t>
  </si>
  <si>
    <t>Stan Braxton</t>
  </si>
  <si>
    <t>Dennis Balo</t>
  </si>
  <si>
    <t>Carl Parrillo</t>
  </si>
  <si>
    <t>ODNR</t>
  </si>
  <si>
    <t>Elizabeth Dillon</t>
  </si>
  <si>
    <t>William Shurtz</t>
  </si>
  <si>
    <t>Steven Wheatcraft</t>
  </si>
  <si>
    <t>Arnel Prater</t>
  </si>
  <si>
    <t>Pamela J
Schumacher</t>
  </si>
  <si>
    <t>DELQ TAX</t>
  </si>
  <si>
    <t>08CI0130</t>
  </si>
  <si>
    <t>05CI805</t>
  </si>
  <si>
    <t>00CI203</t>
  </si>
  <si>
    <t>06CI083</t>
  </si>
  <si>
    <t>Ron Phillips 
&amp; Robert Davis</t>
  </si>
  <si>
    <t>John Thomas</t>
  </si>
  <si>
    <t>Dennis Ruth</t>
  </si>
  <si>
    <t>Tom Miller</t>
  </si>
  <si>
    <t>Michael A 
&amp; Teresa Boals</t>
  </si>
  <si>
    <t>James H Greenwalt</t>
  </si>
  <si>
    <t>Donald Severt</t>
  </si>
  <si>
    <t>Bruce McCormick</t>
  </si>
  <si>
    <t>Deric Potts</t>
  </si>
  <si>
    <t>Charles Carr</t>
  </si>
  <si>
    <t>Shelly Ogle</t>
  </si>
  <si>
    <t>Coshocton Lease &amp; Rental LLC</t>
  </si>
  <si>
    <t>CURRENT LIST OF FORFEITED PARCELS          DATE:  October 16th 2015 AT 10:30AM      COSHOCTON COUNTY COURTHOUSE</t>
  </si>
  <si>
    <t>9/22/15
TAX DUE *</t>
  </si>
  <si>
    <t>043-00003623-00</t>
  </si>
  <si>
    <t>Desiree Haile / Patricia Stokes</t>
  </si>
  <si>
    <t>14-CI-0403</t>
  </si>
  <si>
    <t>043-00003624-00</t>
  </si>
  <si>
    <t>041-000-6-6</t>
  </si>
  <si>
    <t>Elizabeth A Husk</t>
  </si>
  <si>
    <t>15325 CR 436
Washington</t>
  </si>
  <si>
    <t>15-CI-0020</t>
  </si>
  <si>
    <t>008-000-2-6</t>
  </si>
  <si>
    <t>Jeffery Grove</t>
  </si>
  <si>
    <t>32780 SR 93
Crawford</t>
  </si>
  <si>
    <t>14-CI-0392</t>
  </si>
  <si>
    <t>008-000-4-7</t>
  </si>
  <si>
    <t>14-CI-0397</t>
  </si>
  <si>
    <t>023-000-4-2</t>
  </si>
  <si>
    <t>Teresa A
Wright</t>
  </si>
  <si>
    <t>29932 TR 209
Mill Creek</t>
  </si>
  <si>
    <t>14-CI-0260</t>
  </si>
  <si>
    <t>Rev. 9/24/2015</t>
  </si>
  <si>
    <t>Cristy Bower</t>
  </si>
  <si>
    <t>Jason
Pope</t>
  </si>
  <si>
    <t>Tamara
Marlatt</t>
  </si>
  <si>
    <t>CURRENT LIST OF FORFEITED PARCELS          DATE:  MAY 27, 2016 AT 10:30AM      COSHOCTON COUNTY COURTHOUSE</t>
  </si>
  <si>
    <t>#</t>
  </si>
  <si>
    <t>* 5/10/16
TAX DUE</t>
  </si>
  <si>
    <t>041-00066</t>
  </si>
  <si>
    <t>15325 CR 436
Washington - TV</t>
  </si>
  <si>
    <t>Diana Husk</t>
  </si>
  <si>
    <t>Forfeited to Ohio; 
Offered at Auditor's Sale
&amp; received no bid 10/16/15</t>
  </si>
  <si>
    <t>008-00026</t>
  </si>
  <si>
    <t>32780 SR 93
Crawford - Garaway</t>
  </si>
  <si>
    <t>NO BIDS</t>
  </si>
  <si>
    <t>008-00047</t>
  </si>
  <si>
    <t>023-00042</t>
  </si>
  <si>
    <t>29932 TR 209
Mill Creek - RV</t>
  </si>
  <si>
    <t>14-CI-0280</t>
  </si>
  <si>
    <t>Heather
Dovenbarger</t>
  </si>
  <si>
    <t>018-00122</t>
  </si>
  <si>
    <t>John Paver</t>
  </si>
  <si>
    <t>23601 SR 93
Lafayette - Ridgewood</t>
  </si>
  <si>
    <t>14-CI-0393</t>
  </si>
  <si>
    <t>Larry Nelson</t>
  </si>
  <si>
    <t>043-00000064-00</t>
  </si>
  <si>
    <t>Donald Ray McFadden</t>
  </si>
  <si>
    <t>127 Park Avenue
Coshocton -CSD</t>
  </si>
  <si>
    <t>15-CI-0176</t>
  </si>
  <si>
    <t>Jim Streets</t>
  </si>
  <si>
    <t>Paul Gobel</t>
  </si>
  <si>
    <t>CR 17
Jackson - RV</t>
  </si>
  <si>
    <t>15-CI-0303</t>
  </si>
  <si>
    <t>Jeff Speaks</t>
  </si>
  <si>
    <t>018-00196</t>
  </si>
  <si>
    <t>Matthew
Snyder</t>
  </si>
  <si>
    <t>52939 TR 159
Lafayette - Ridgewood</t>
  </si>
  <si>
    <t>15-CI-0086</t>
  </si>
  <si>
    <t>003-00034</t>
  </si>
  <si>
    <t>Robert Parsons</t>
  </si>
  <si>
    <r>
      <t xml:space="preserve">39080 SR 541
Bedford - RV
</t>
    </r>
    <r>
      <rPr>
        <sz val="8"/>
        <rFont val="Arial"/>
        <family val="2"/>
      </rPr>
      <t>(TRAILER NOT LOCATED - MAY NOT SELL)</t>
    </r>
  </si>
  <si>
    <t>14-CI-0391</t>
  </si>
  <si>
    <t>REMOVED FROM LIST</t>
  </si>
  <si>
    <t>016-00078</t>
  </si>
  <si>
    <t>Steven E &amp; Angila M Medley</t>
  </si>
  <si>
    <r>
      <t xml:space="preserve">109 North Canal St, Lot 4
Warsaw Corp - RV
</t>
    </r>
    <r>
      <rPr>
        <sz val="8"/>
        <rFont val="Arial"/>
        <family val="2"/>
      </rPr>
      <t>(TRAILER NOT LOCATED - MAY NOT SELL)</t>
    </r>
  </si>
  <si>
    <t>15-CI-0085</t>
  </si>
  <si>
    <t>003-00129</t>
  </si>
  <si>
    <t>Bernard F Carter</t>
  </si>
  <si>
    <r>
      <t xml:space="preserve">40540 CR 51
Bedford - RV
</t>
    </r>
    <r>
      <rPr>
        <sz val="8"/>
        <rFont val="Arial"/>
        <family val="2"/>
      </rPr>
      <t>(TRAILER NOT LOCATED - MAY NOT SELL)</t>
    </r>
  </si>
  <si>
    <t>15-CI-0115</t>
  </si>
  <si>
    <t>013-16170</t>
  </si>
  <si>
    <t>Dorothy &amp; Russell Perone</t>
  </si>
  <si>
    <t>46115 US Highway 36
Lot 42
Jackson - RV</t>
  </si>
  <si>
    <t>15-CI-0113</t>
  </si>
  <si>
    <t>029-00020</t>
  </si>
  <si>
    <t>Mark Hennis</t>
  </si>
  <si>
    <t>21622 Meadow Drive
Oxford - Ridgewood</t>
  </si>
  <si>
    <t>15-CI-0021</t>
  </si>
  <si>
    <t>Mike Hayes</t>
  </si>
  <si>
    <t>029-02003</t>
  </si>
  <si>
    <t>15-CI-0022</t>
  </si>
  <si>
    <t>043-00004627-00</t>
  </si>
  <si>
    <t>William J Jones</t>
  </si>
  <si>
    <t>Awaiting Court 
notification/subdivision petition
per ORC 5723.01(A)(3)</t>
  </si>
  <si>
    <t>016-00063</t>
  </si>
  <si>
    <t>Donald R Poorman</t>
  </si>
  <si>
    <t>014-00000046-00</t>
  </si>
  <si>
    <t>David W Burns</t>
  </si>
  <si>
    <t>TR 41
Jefferson - RV</t>
  </si>
  <si>
    <t>15-CI-0307</t>
  </si>
  <si>
    <t>040-00000016-00</t>
  </si>
  <si>
    <t>SR 60
Washington - RV</t>
  </si>
  <si>
    <t>15-CI-0306</t>
  </si>
  <si>
    <t>Sharon
Ferrell</t>
  </si>
  <si>
    <t>041-00000310-00</t>
  </si>
  <si>
    <t>SR 60
Washington - TV</t>
  </si>
  <si>
    <t>15-CI-0305</t>
  </si>
  <si>
    <t>014-00000613-00</t>
  </si>
  <si>
    <t>SR 60
Jefferson - TV</t>
  </si>
  <si>
    <t>15-CI-0304</t>
  </si>
  <si>
    <t>CURRENT LIST OF FORFEITED PARCELS          DATE:  OCTOBER 28, 2016 AT 10:30AM      COSHOCTON COUNTY COURTHOUSE</t>
  </si>
  <si>
    <t>* 10/24/16
TAX DUE *</t>
  </si>
  <si>
    <t>* COSTS *</t>
  </si>
  <si>
    <t>* LOWEST
BID  *</t>
  </si>
  <si>
    <t>Forfeited to Ohio; 
Offered at Auditor's Sale
&amp; received no bid 10/16/15 &amp; 5/27/16</t>
  </si>
  <si>
    <t>Forfeited to Ohio; 
Offered at Auditor's Sale
&amp; received no bid 5/27/16</t>
  </si>
  <si>
    <t>SR 60
Jefferson - RV</t>
  </si>
  <si>
    <t>309 Walnut Street
Coshocton Corp - CSD</t>
  </si>
  <si>
    <t>15-CI-0236</t>
  </si>
  <si>
    <t>628 Plum Road
Warsaw Corp - RV</t>
  </si>
  <si>
    <t>15-CI-0271</t>
  </si>
  <si>
    <t>Awaiting Court 
notification/subdivision petition per ORC 5723.01(A)(3)</t>
  </si>
  <si>
    <t>037-00045</t>
  </si>
  <si>
    <t>Susan R Senter et al</t>
  </si>
  <si>
    <t>22512 CR. 1A
Tuscarawas - CSD</t>
  </si>
  <si>
    <t>15-CI-0116</t>
  </si>
  <si>
    <t>* SUBJECT TO CHANGE *</t>
  </si>
  <si>
    <t>043-00003645-00</t>
  </si>
  <si>
    <t>STI Investments LLC, et al</t>
  </si>
  <si>
    <t>441 Main Street
Coshocton Corp - CSD</t>
  </si>
  <si>
    <t>15-CI-0231</t>
  </si>
  <si>
    <t>Charlie Harmon Welding LLC</t>
  </si>
  <si>
    <t>134 South 6th Street
Coshocton Corp - CSD</t>
  </si>
  <si>
    <t>16-CI-0057</t>
  </si>
  <si>
    <t>043-00003553-00</t>
  </si>
  <si>
    <t>Bert Rentals LLC</t>
  </si>
  <si>
    <t>418 South 7th Street
Coshocton Corp - CSD</t>
  </si>
  <si>
    <t>16-CI-0454</t>
  </si>
  <si>
    <t>043-00001107-00</t>
  </si>
  <si>
    <t>David Keith Farrell</t>
  </si>
  <si>
    <t>901 East Main Street
Coshocton Corp - CSD</t>
  </si>
  <si>
    <t>16-CI-0146</t>
  </si>
  <si>
    <t>Jerry Yoder</t>
  </si>
  <si>
    <t>Timothy Helmick</t>
  </si>
  <si>
    <t>Mike Manning as POA</t>
  </si>
  <si>
    <t>Brenda Spracklen</t>
  </si>
  <si>
    <t>CURRENT LIST OF FORFEITED PARCELS          DATE:  MAY 19, 2017 AT 10:30AM      COSHOCTON COUNTY COURTHOUSE</t>
  </si>
  <si>
    <t>LEGAL
DESCRIPTION</t>
  </si>
  <si>
    <t>* 4/18/17
TAX DUE *</t>
  </si>
  <si>
    <t>1974 Skyline Mobile Home</t>
  </si>
  <si>
    <t>Forfeited to Ohio; 
Offered at Auditor's Sale
&amp; received no bid 10/16/15 &amp; 5/27/16 &amp; 10/28/16</t>
  </si>
  <si>
    <t>1972 Horizon Mobile Home</t>
  </si>
  <si>
    <t>2004 Palm Harbor Mobile Home</t>
  </si>
  <si>
    <t>Forfeited to Ohio; 
Offered at Auditor's Sale
&amp; received no bid 5/27/16 &amp; 10/28/16</t>
  </si>
  <si>
    <t>22512 CR 1A
Tuscarawas - CSD</t>
  </si>
  <si>
    <t>2001 Bluegrass Mobile Home</t>
  </si>
  <si>
    <t xml:space="preserve">441 Main Street
Coshocton Corp - CSD
</t>
  </si>
  <si>
    <t>IN-LOT 8  N PT  
149.74 X 105  
IN-LOT 7  N PT
149.74 X 25</t>
  </si>
  <si>
    <t>IN-LOT 266  N PT  
49 X 136.5</t>
  </si>
  <si>
    <t>REDEEMED BY OWNER</t>
  </si>
  <si>
    <t>IN-LOT 558  N PT
37.9 X 150</t>
  </si>
  <si>
    <t>15-CI-0454</t>
  </si>
  <si>
    <t>David/Crystal Farrell</t>
  </si>
  <si>
    <t>IN-LOT 800  W PT 
35 X 161</t>
  </si>
  <si>
    <t>043-00000472-00</t>
  </si>
  <si>
    <t>Dorothy Kent</t>
  </si>
  <si>
    <t>424 N 9th Street
Coshocton Corp - CSD</t>
  </si>
  <si>
    <t>IN-LOT 216  PT  
34 X 260</t>
  </si>
  <si>
    <t>16-CI-0305</t>
  </si>
  <si>
    <t>021-00000345-03</t>
  </si>
  <si>
    <t>Robert Faulkner &amp; Catherine McConnell</t>
  </si>
  <si>
    <t>51470 TR 146
Linton - Ridgewood</t>
  </si>
  <si>
    <t xml:space="preserve">SW QTR Sec 5 .2519ac
SE Qtr Sec 5 .1617ac
= .4136ac
</t>
  </si>
  <si>
    <t>16-CI-0086</t>
  </si>
  <si>
    <t>038-00042</t>
  </si>
  <si>
    <t>Timothy A Durben</t>
  </si>
  <si>
    <t>16500 TR 287
Virginia - RV</t>
  </si>
  <si>
    <t>1990 Skyline Mobile Home</t>
  </si>
  <si>
    <t>15-CI-0422</t>
  </si>
  <si>
    <t>002-00063</t>
  </si>
  <si>
    <t>Roger Hough</t>
  </si>
  <si>
    <t>TR 249
Adams - Ridgewood</t>
  </si>
  <si>
    <t>1971 Travelo Mobile Home</t>
  </si>
  <si>
    <t>16-CI-0124</t>
  </si>
  <si>
    <t>24856 SR 79 Rear
Jefferson - RV</t>
  </si>
  <si>
    <t>1972 Cameron Mobile Home</t>
  </si>
  <si>
    <t>5/19/17</t>
  </si>
  <si>
    <t>WILLIAM MAPLE</t>
  </si>
  <si>
    <t>GARY TENNANT</t>
  </si>
  <si>
    <t>CAROL HAMMOND</t>
  </si>
  <si>
    <t>CARA GOOD</t>
  </si>
  <si>
    <t>DERIC POTTS</t>
  </si>
  <si>
    <t>GLENDA HUGHES</t>
  </si>
  <si>
    <t>JOHN SHARIER</t>
  </si>
  <si>
    <t>JOHN THOMPSON</t>
  </si>
  <si>
    <t>JOHN COUNRTYMAN</t>
  </si>
  <si>
    <t>DAVID BICKEL</t>
  </si>
  <si>
    <t>DEAN HAYES</t>
  </si>
  <si>
    <t>ROBERT WALKER</t>
  </si>
  <si>
    <t>CURRENT LIST OF FORFEITED PARCELS          DATE:  OCTOBER 27, 2017 AT 10:30AM      COSHOCTON COUNTY COURTHOUSE</t>
  </si>
  <si>
    <t>* 10/10/2017
TAX DUE *</t>
  </si>
  <si>
    <t>Forfeited to Ohio; 
Offered at Auditor's Sale
&amp; received no bid 10/16/15 &amp; 5/27/16 &amp; 10/28/16 &amp; 5/19/17</t>
  </si>
  <si>
    <t>10/27/2017</t>
  </si>
  <si>
    <t>IN-LOT 800  W PT 
35x161</t>
  </si>
  <si>
    <t>Forfeited to Ohio; 
Offered at Auditor's Sale
&amp; received no bid 5/19/17</t>
  </si>
  <si>
    <t>043-00001795-00</t>
  </si>
  <si>
    <t>Brent &amp; Mandy Ramsey</t>
  </si>
  <si>
    <t>Cemetery Street
Coshocton Corp - CSD</t>
  </si>
  <si>
    <t>IN-LOT 404 
55x135</t>
  </si>
  <si>
    <t>15-CI-0456</t>
  </si>
  <si>
    <t>016-00108</t>
  </si>
  <si>
    <t>Kara Willey</t>
  </si>
  <si>
    <t>5 Edgewood Drive
Warsaw Corp - RV</t>
  </si>
  <si>
    <t>2007 Colony Mobile Home</t>
  </si>
  <si>
    <t>16-CI-0437</t>
  </si>
  <si>
    <t>010-00000233-00</t>
  </si>
  <si>
    <t>Irving F Weaver</t>
  </si>
  <si>
    <t>17869 TR 347
Franklin - RV</t>
  </si>
  <si>
    <t>PT W SIDE RIVER 
1.009 ACRES</t>
  </si>
  <si>
    <t>16-CI-0392</t>
  </si>
  <si>
    <t>043-00000529-00</t>
  </si>
  <si>
    <t>Evelyn M Krasky</t>
  </si>
  <si>
    <t>328 N 15th Street
Coshocton Corp - CSD</t>
  </si>
  <si>
    <t>IN-LOT 1255-6 1/4 PT 37.5x100</t>
  </si>
  <si>
    <t>16-CI-0331</t>
  </si>
  <si>
    <t>043-00004041-00</t>
  </si>
  <si>
    <t>Sharon A Grossman</t>
  </si>
  <si>
    <t>1139 Chestnut Street
Coshocton Corp - CSD</t>
  </si>
  <si>
    <t>OUT-LOT 128 MID PT N 1/2 49X145</t>
  </si>
  <si>
    <t>16-CI-0343</t>
  </si>
  <si>
    <t>MARVIN LILLIBRIDGE</t>
  </si>
  <si>
    <t>DENNY BALO</t>
  </si>
  <si>
    <t>TOM HEADING</t>
  </si>
  <si>
    <t>KAYTLIN SHOUP</t>
  </si>
  <si>
    <t>JIM WALSH</t>
  </si>
  <si>
    <t>CURRENT LIST OF FORFEITED PARCELS          DATE:  MAY 18, 2018 AT 10:30AM      COSHOCTON COUNTY COURTHOUSE</t>
  </si>
  <si>
    <t>* 04/6/2018
TAX DUE *</t>
  </si>
  <si>
    <t>Forfeited to Ohio; Offered at Auditor's Sale &amp; received no bid 10/16/15 &amp; 5/27/16 &amp; 10/28/16 &amp; 5/19/17 &amp; 10/27/17</t>
  </si>
  <si>
    <t>May 18, 2018</t>
  </si>
  <si>
    <t>REMOVED FROM LIST (UNABLE TO LOCATE)</t>
  </si>
  <si>
    <t>032-00027</t>
  </si>
  <si>
    <t>Charles D &amp; Sarah G Hash</t>
  </si>
  <si>
    <t>14594 TR 424
Pike -RV</t>
  </si>
  <si>
    <t>1999 Fleetwood Mobile Home</t>
  </si>
  <si>
    <t>17-CI-0098</t>
  </si>
  <si>
    <t>043-00000701-00</t>
  </si>
  <si>
    <t>Jim Celeschi,
et al.</t>
  </si>
  <si>
    <t>820 South Lawn Avenue
Coshocton Corp - CSD</t>
  </si>
  <si>
    <t>In-Lot 1383 N 1/2 
25x188.5</t>
  </si>
  <si>
    <t>2014-CI-0303</t>
  </si>
  <si>
    <t>043-00004363-00</t>
  </si>
  <si>
    <t>Kenneth Pelfrey, et al.</t>
  </si>
  <si>
    <t>935 S 6th St
Coshocton Corp - CSD</t>
  </si>
  <si>
    <t>Out-Lot 176 PT
50x60</t>
  </si>
  <si>
    <t>17-CI-0008</t>
  </si>
  <si>
    <t>026-00062</t>
  </si>
  <si>
    <t>Donna Yannayan, et al.</t>
  </si>
  <si>
    <t>40032 CR 19
Monroe - RV</t>
  </si>
  <si>
    <t>1973 New Yorker Mobile Home</t>
  </si>
  <si>
    <t>17-CI-0166</t>
  </si>
  <si>
    <t>TREASURER WRITE OFF</t>
  </si>
  <si>
    <t>008-00012</t>
  </si>
  <si>
    <t>Jerry Havranek, et al.</t>
  </si>
  <si>
    <t>23601 SR 93 LOT 5
Crawford - Garaway</t>
  </si>
  <si>
    <t>1997 Redman Mobile Home</t>
  </si>
  <si>
    <t>17-CI-0097</t>
  </si>
  <si>
    <t>029-00052</t>
  </si>
  <si>
    <t>Ryan McQuiston, et al.</t>
  </si>
  <si>
    <t>56540 US 36
Oxford - Ridgewood</t>
  </si>
  <si>
    <t>1995 Skyline Mobile Home</t>
  </si>
  <si>
    <t>17-CI-0247</t>
  </si>
  <si>
    <t>043-00000265-00</t>
  </si>
  <si>
    <t>JIRA 
Investment
 LLC</t>
  </si>
  <si>
    <t>N 14th Street
Coshocton Corp - CSD</t>
  </si>
  <si>
    <t>In-Lot 1508
79x120</t>
  </si>
  <si>
    <t>17-CI-0353</t>
  </si>
  <si>
    <t>043-00000267-00</t>
  </si>
  <si>
    <t>In-Lot 1509
50x100</t>
  </si>
  <si>
    <t>043-00000269-00</t>
  </si>
  <si>
    <t>In-Lot 1510
50x120</t>
  </si>
  <si>
    <t>043-00000270-00</t>
  </si>
  <si>
    <t>In-Lot 1511
50x120</t>
  </si>
  <si>
    <t>043-00000271-00</t>
  </si>
  <si>
    <t>In-Lot 1513
50x120</t>
  </si>
  <si>
    <t>043-00000272-00</t>
  </si>
  <si>
    <t>In-Lot 1514
50x120</t>
  </si>
  <si>
    <t>043-00000273-00</t>
  </si>
  <si>
    <t>In-Lot 1512
50x120</t>
  </si>
  <si>
    <t>043-00000275-00</t>
  </si>
  <si>
    <t>1300 Walnut Street
Coshocton Corp - CSD</t>
  </si>
  <si>
    <t>Out-Lot 143 PT
2.7713 Acres</t>
  </si>
  <si>
    <t>043-00000276-00</t>
  </si>
  <si>
    <t>Out-Lot 143 PT
.408 Acres 45x395</t>
  </si>
  <si>
    <t>043-00001507-00</t>
  </si>
  <si>
    <t>In-Lot 1505
50x120</t>
  </si>
  <si>
    <t>043-00001509-00</t>
  </si>
  <si>
    <t>In-Lot 1506
50x120</t>
  </si>
  <si>
    <t>043-00001511-00</t>
  </si>
  <si>
    <t>In-Lot 1507
18x120</t>
  </si>
  <si>
    <t>043-00001514-00</t>
  </si>
  <si>
    <t>In-Lot 1503
50x120</t>
  </si>
  <si>
    <t>043-00001516-00</t>
  </si>
  <si>
    <t>In-Lot 1504
50x120</t>
  </si>
  <si>
    <t>043-00006197-00</t>
  </si>
  <si>
    <t>PT 13 E of RR
23x177</t>
  </si>
  <si>
    <t>Last Updated:</t>
  </si>
  <si>
    <t>NO 
SALE</t>
  </si>
  <si>
    <t>LESLIE CAMPBELL</t>
  </si>
  <si>
    <t>JIM APPIS</t>
  </si>
  <si>
    <t>LESLIE MURRAY</t>
  </si>
  <si>
    <t>ERIC BAKER</t>
  </si>
  <si>
    <t>BLAKE LILLIBRIDGE</t>
  </si>
  <si>
    <t>LFP10 LLC</t>
  </si>
  <si>
    <t>CURRENT LIST OF FORFEITED PARCELS          DATE:  OCTOBER 19, 2018 AT 10:30AM      COSHOCTON COUNTY COURTHOUSE</t>
  </si>
  <si>
    <t>* 09/27/2018
TAX DUE *</t>
  </si>
  <si>
    <t>Forfeited to Ohio; Offered at Auditor's Sale &amp; received no bid 10/16/15 &amp; 5/27/16 &amp; 10/28/16 &amp; 5/19/17 &amp; 10/27/17 &amp; 5/18/18</t>
  </si>
  <si>
    <t>October 19, 2018</t>
  </si>
  <si>
    <t>003-00000507-01</t>
  </si>
  <si>
    <t>Azalea 8183 LLC</t>
  </si>
  <si>
    <t>CR 54
Bedford - RV</t>
  </si>
  <si>
    <t>Mineral Rights Only</t>
  </si>
  <si>
    <t>17-CI-0322</t>
  </si>
  <si>
    <t>005-00029</t>
  </si>
  <si>
    <t>Charleton L Seitz, et al</t>
  </si>
  <si>
    <t>29626 CR 49
Clark - RV</t>
  </si>
  <si>
    <t>1991 Commodore MH</t>
  </si>
  <si>
    <t>17CI04022</t>
  </si>
  <si>
    <t>020-00089</t>
  </si>
  <si>
    <t>Russell R Arnder, et al</t>
  </si>
  <si>
    <t>324 West Fairview St
West Lafayette Corp - Ridgewood</t>
  </si>
  <si>
    <t>2002 Champion Moblie Home</t>
  </si>
  <si>
    <t>18CI0019</t>
  </si>
  <si>
    <t>013-00008</t>
  </si>
  <si>
    <t>Christie M Menefee, et al</t>
  </si>
  <si>
    <t>20336 TR 306
Jackson - RV</t>
  </si>
  <si>
    <t>1974 Vindale Mobile Home</t>
  </si>
  <si>
    <t>18CI0028</t>
  </si>
  <si>
    <t>041-00082</t>
  </si>
  <si>
    <t>Meagan Smith,
et al</t>
  </si>
  <si>
    <t>14588 CR 14
Washington - TV</t>
  </si>
  <si>
    <t>1995 Fleetwood Mobile Home</t>
  </si>
  <si>
    <t>18CI0038</t>
  </si>
  <si>
    <t>041-00069</t>
  </si>
  <si>
    <t>Jeff Rine,
et al</t>
  </si>
  <si>
    <t>1981 Commodore Mobile Home</t>
  </si>
  <si>
    <t>18CI0037</t>
  </si>
  <si>
    <t>021-00079</t>
  </si>
  <si>
    <t xml:space="preserve">Ethel L Arnder,
 et al </t>
  </si>
  <si>
    <t>16615 SR 93 South
Linton - Ridgewood</t>
  </si>
  <si>
    <t>1968 Marlette Mobile Home</t>
  </si>
  <si>
    <t>18CI0021</t>
  </si>
  <si>
    <t>037-00077</t>
  </si>
  <si>
    <t>David Knicely</t>
  </si>
  <si>
    <t>605 Willow Street
Tuscarawas - CSD</t>
  </si>
  <si>
    <t>1987 Fleming Mobile Home</t>
  </si>
  <si>
    <t>2018-CI-0106</t>
  </si>
  <si>
    <t>004-00215</t>
  </si>
  <si>
    <t>43424 US 36
Bethlehem - RV</t>
  </si>
  <si>
    <t>1987 Holly Park Mobile Home</t>
  </si>
  <si>
    <t>037-06053</t>
  </si>
  <si>
    <t>1971 Acadamy Mobile Home</t>
  </si>
  <si>
    <t>016-00090</t>
  </si>
  <si>
    <t>318 6th Street
Warsaw Corp - RV</t>
  </si>
  <si>
    <t>1988 Stratford Mobile Home</t>
  </si>
  <si>
    <t>ERIC RYAN</t>
  </si>
  <si>
    <t>TERRY 
COX</t>
  </si>
  <si>
    <t>ROBERT W WARREN</t>
  </si>
  <si>
    <t>ALEX ATHENS</t>
  </si>
  <si>
    <t>CURRENT LIST OF FORFEITED PARCELS          DATE:  MAY 10, 2019 AT 10:30AM      COSHOCTON COUNTY COURTHOUSE</t>
  </si>
  <si>
    <t>* 04/01/2019
TAX DUE *</t>
  </si>
  <si>
    <t>1974 Skyline 
Mobile Home</t>
  </si>
  <si>
    <t>Forfeited to Ohio; Offered at Auditor's Sale &amp; received no bid 10/16/15 &amp; 5/27/16 &amp; 10/28/16 &amp; 5/19/17 &amp; 10/27/17 &amp; 5/18/18 &amp; 10/19/18</t>
  </si>
  <si>
    <t>May 10, 2019</t>
  </si>
  <si>
    <t>1991 Commodore Mobile Home</t>
  </si>
  <si>
    <t>Forfeited to Ohio; Offered at Auditor's Sale &amp; received no bid 10/19/19</t>
  </si>
  <si>
    <t>018-00163</t>
  </si>
  <si>
    <t>Charles T Jarvis, et al</t>
  </si>
  <si>
    <t>22046 TR 1064
Lafayette - Ridgewood</t>
  </si>
  <si>
    <t>1968 Richmond Mobile Home</t>
  </si>
  <si>
    <t>18CI0025</t>
  </si>
  <si>
    <t>021-00042</t>
  </si>
  <si>
    <t>Kenneth E Shingleton et al</t>
  </si>
  <si>
    <t>16789 SR 93
Linton - Ridgewood</t>
  </si>
  <si>
    <t>1970 Kirkwood Mobile Home</t>
  </si>
  <si>
    <t>18CI0039</t>
  </si>
  <si>
    <t>043-00000034-00</t>
  </si>
  <si>
    <t>Cephas Pearson</t>
  </si>
  <si>
    <t>871 Chestnut Street
Coshocton Corp - CSD</t>
  </si>
  <si>
    <t>IN LOTS 416 &amp; 417 
PT N PT 53X96</t>
  </si>
  <si>
    <t>2018 CI 0205</t>
  </si>
  <si>
    <t>043-00115</t>
  </si>
  <si>
    <t>George H Blair</t>
  </si>
  <si>
    <t>1197 S 2nd ST Lot 13
Coshocotn Corp - CSD</t>
  </si>
  <si>
    <t>1983 Knollwood Mobile Home</t>
  </si>
  <si>
    <t>2017 CI 0419</t>
  </si>
  <si>
    <t>013-00201</t>
  </si>
  <si>
    <t>Sally A Erow</t>
  </si>
  <si>
    <t>46110 SR 541
Jackson - RV</t>
  </si>
  <si>
    <t>1971 Cameron Mobile Home</t>
  </si>
  <si>
    <t>2017 CI 0418</t>
  </si>
  <si>
    <t>013-00200</t>
  </si>
  <si>
    <t>1987 Skyline 
Mobile Home</t>
  </si>
  <si>
    <t>006-00000194-00</t>
  </si>
  <si>
    <t>Bobby S Cool</t>
  </si>
  <si>
    <t>42178 CR 19
Clark - West Holmes</t>
  </si>
  <si>
    <t>PT 22 51X154</t>
  </si>
  <si>
    <t>2018 CI 0216</t>
  </si>
  <si>
    <t>031-00119</t>
  </si>
  <si>
    <t>Donald E Bechtol Jr</t>
  </si>
  <si>
    <t>20530 CR 367
Perry - RV</t>
  </si>
  <si>
    <t>1978 Ritz Craft Mobile Home</t>
  </si>
  <si>
    <t>2018 CI 0269</t>
  </si>
  <si>
    <t>043-00002473-00</t>
  </si>
  <si>
    <t>Stanley C Braxton</t>
  </si>
  <si>
    <t>531 527 Main Street
Coshocton Corp -CSD</t>
  </si>
  <si>
    <t>IN LOT 240 44x100 4350sq ft</t>
  </si>
  <si>
    <t>2018 CI 0304</t>
  </si>
  <si>
    <t>043-00006320-00</t>
  </si>
  <si>
    <t>Craig S Hultz</t>
  </si>
  <si>
    <t>S 9th Street
Coshocton Corp - CSD</t>
  </si>
  <si>
    <t>S PT OF VACATED ALLEY N OF LOT 8X144</t>
  </si>
  <si>
    <t>2018 CI 0370</t>
  </si>
  <si>
    <t>Cara Good</t>
  </si>
  <si>
    <t>Vic Allen</t>
  </si>
  <si>
    <t>Eva Moon</t>
  </si>
  <si>
    <t>Paul Sadler</t>
  </si>
  <si>
    <t>Kathy Jones</t>
  </si>
  <si>
    <t>Kevin Kreider</t>
  </si>
  <si>
    <t>Grayson Properties</t>
  </si>
  <si>
    <t>Pastor Rodney Uhlig Burt Avenue Wesleyan Church</t>
  </si>
  <si>
    <t>CURRENT LIST OF FORFEITED PARCELS          DATE:  OCTOBER 18 2019 AT 10:30AM      COSHOCTON COUNTY COURTHOUSE</t>
  </si>
  <si>
    <t>* 09/20/2019
TAX DUE *</t>
  </si>
  <si>
    <t>Forfeited to Ohio; Offered at Auditor's Sale &amp; received no bid 10/16/15 &amp; 5/27/16 &amp; 10/28/16 &amp; 5/19/17 &amp; 10/27/17 &amp; 5/18/18 &amp; 10/19/18 &amp; 5/10/19</t>
  </si>
  <si>
    <t>October 18, 2019</t>
  </si>
  <si>
    <t>Forfeited to Ohio; Offered at Auditor's Sale &amp; received no bid 10/19/18 &amp; 5/10/19</t>
  </si>
  <si>
    <t>Jeff Rine</t>
  </si>
  <si>
    <t>Charles T Jarvis</t>
  </si>
  <si>
    <t>Forfeited to Ohio; Offered at Auditor's Sale &amp; received no bid 5/10/19</t>
  </si>
  <si>
    <t>Kenneth E Shingleton</t>
  </si>
  <si>
    <t>016-00092</t>
  </si>
  <si>
    <t>Dave Fitzer</t>
  </si>
  <si>
    <t>611 Railroad St
Warsaw Corp - RV</t>
  </si>
  <si>
    <t>18CI0166</t>
  </si>
  <si>
    <t>006-00067</t>
  </si>
  <si>
    <t>Jeff Pahoundis</t>
  </si>
  <si>
    <t>33658 TR 222
Clark - West Holmes</t>
  </si>
  <si>
    <t>1978 Buddy Mobile Home</t>
  </si>
  <si>
    <t>18CI0272</t>
  </si>
  <si>
    <t>002-00120</t>
  </si>
  <si>
    <t>Raymond E Troyer</t>
  </si>
  <si>
    <t>52924 SR 651
Adams - Ridgewood</t>
  </si>
  <si>
    <t>1979 Windsor Mobile Home</t>
  </si>
  <si>
    <t>18CI0378</t>
  </si>
  <si>
    <t>038-00000434-02</t>
  </si>
  <si>
    <t>David, Dayle K, &amp; Denny T Ross 
&amp; Betsy R Kohman</t>
  </si>
  <si>
    <t>CR 75
Virginia - RV</t>
  </si>
  <si>
    <t>18CI0232</t>
  </si>
  <si>
    <t>038-00000434-03</t>
  </si>
  <si>
    <t>18CI0233</t>
  </si>
  <si>
    <t>038-00000435-01</t>
  </si>
  <si>
    <t>TR 288
Virginia - RV</t>
  </si>
  <si>
    <t>18CI0234</t>
  </si>
  <si>
    <t>038-00000758-01</t>
  </si>
  <si>
    <t>TR 432
Virginia - RV</t>
  </si>
  <si>
    <t>18CI-0230</t>
  </si>
  <si>
    <t>043-00002303-00</t>
  </si>
  <si>
    <t>Sarah A, James M, Katylynn Wallace &amp; Jon M, Rainy Moore</t>
  </si>
  <si>
    <t>Wilson Avenue
Coshocton Corp - CSD</t>
  </si>
  <si>
    <t>IN LOT 886
 48 X 196</t>
  </si>
  <si>
    <t>18CI0279</t>
  </si>
  <si>
    <t>044-00000577-00</t>
  </si>
  <si>
    <t>Ronnie B Wright</t>
  </si>
  <si>
    <t>Cassingham Hollow Drive
Coshocton Corp - RV</t>
  </si>
  <si>
    <t>W SIDE
 .24 ACRES</t>
  </si>
  <si>
    <t>18CI0390</t>
  </si>
  <si>
    <t>Awaiting Court notification/subdivision petition per ORC 5723.01(A)(3).</t>
  </si>
  <si>
    <t>021-00000452-00</t>
  </si>
  <si>
    <t>F A &amp; Eliz M Stone</t>
  </si>
  <si>
    <t>TR 477
Linton - Ridgewood</t>
  </si>
  <si>
    <t>IN LOT 45 PT 21.5X65 
LINTON MILLS</t>
  </si>
  <si>
    <t>18CI0442</t>
  </si>
  <si>
    <t>018-00001247-00</t>
  </si>
  <si>
    <t>Coshocton Residental Development Corp</t>
  </si>
  <si>
    <t>SR 93
Lafayette - Ridgewood</t>
  </si>
  <si>
    <t>W PT 1 
.0032 acres</t>
  </si>
  <si>
    <t>18CI0452</t>
  </si>
  <si>
    <t>142.21</t>
  </si>
  <si>
    <t>JAMES HENRY JR</t>
  </si>
  <si>
    <t>BS4 INVESTMENTS LLC</t>
  </si>
  <si>
    <t>MARK D HOCHSTETLER</t>
  </si>
  <si>
    <t>CURRENT LIST OF FORFEITED PARCELS          DATE:  SEPTEMBER 18, 2020 AT 10:30AM      COSHOCTON COUNTY COURTHOUSE</t>
  </si>
  <si>
    <t>* 08/24/2020
TAX DUE *</t>
  </si>
  <si>
    <t>Forfeited to Ohio; Offered at Auditor's Sale &amp; received no bid 10/16/15 &amp; 5/27/16 &amp; 10/28/16 &amp; 5/19/17 &amp; 10/27/17 &amp; 5/18/18 &amp; 10/19/18 &amp; 5/10/19 &amp; 10/18/19</t>
  </si>
  <si>
    <t>N/A</t>
  </si>
  <si>
    <t>Forfeited to Ohio; Offered at Auditor's Sale &amp; received no bid 10/19/18 &amp; 5/10/19 &amp; 10/18/19</t>
  </si>
  <si>
    <t>September 18, 2020</t>
  </si>
  <si>
    <t>Forfeited to Ohio; Offered at Auditor's Sale &amp; received no bid 5/10/19 &amp;10/18/19</t>
  </si>
  <si>
    <t xml:space="preserve">KEY: </t>
  </si>
  <si>
    <t>LAND SELECTED BY COSHOCTON COUNTY REUTILIZATION CORPORATION (CCLRC) THAT IT WISHES TO ACQUIRE IF MINIMAL BID NOT MET</t>
  </si>
  <si>
    <t>038-00047</t>
  </si>
  <si>
    <t>Ruth P Snodgrass</t>
  </si>
  <si>
    <t>18356 County Road 6 Virginia - RV</t>
  </si>
  <si>
    <t>1979 Bayview Mobile Home</t>
  </si>
  <si>
    <t>19CI0291</t>
  </si>
  <si>
    <t>Carol J Hammond</t>
  </si>
  <si>
    <t>IN-LOT 8  N PT  149.74 X 105  7  N PT  149.74 X 25</t>
  </si>
  <si>
    <t>19CI0370</t>
  </si>
  <si>
    <t>021-00033</t>
  </si>
  <si>
    <t>James E Domer</t>
  </si>
  <si>
    <t>16577 CR 120
Linton - Ridgewood</t>
  </si>
  <si>
    <t>1962 Great Lakes Mobile Home</t>
  </si>
  <si>
    <t>2018CI0375</t>
  </si>
  <si>
    <t>Tawnya L &amp; Thomas J Wilson</t>
  </si>
  <si>
    <t>North Street
Tuscarawas - CSD</t>
  </si>
  <si>
    <t>PT LOT 1329
3 Acres</t>
  </si>
  <si>
    <t>2018CI0247</t>
  </si>
  <si>
    <t>043-00005166-00</t>
  </si>
  <si>
    <t>Janilyn R Hoffman</t>
  </si>
  <si>
    <t>1801 Walnut Street
Coshocton Corp - CSD</t>
  </si>
  <si>
    <t>IN LOT 3769</t>
  </si>
  <si>
    <t>2019CI0284</t>
  </si>
  <si>
    <t>008-00030</t>
  </si>
  <si>
    <t>Jebb S McKee</t>
  </si>
  <si>
    <t>55020 TR 88
Crawford - Garaway</t>
  </si>
  <si>
    <t>1978 Windsor Mobile Home</t>
  </si>
  <si>
    <t>2018CI0377</t>
  </si>
  <si>
    <t>043-00000075-00</t>
  </si>
  <si>
    <t>Kathleen R Vickers</t>
  </si>
  <si>
    <t>671 Elm Street
Coshocton Corp - CSD</t>
  </si>
  <si>
    <t>IN LOT 614
 49x150</t>
  </si>
  <si>
    <t>2014CI0294</t>
  </si>
  <si>
    <t>039-00026</t>
  </si>
  <si>
    <t>Adam S Musser</t>
  </si>
  <si>
    <t>43109 TR 296
Virginia - TV</t>
  </si>
  <si>
    <t>2000 Blue Grass Mobile Home</t>
  </si>
  <si>
    <t>2018CI0095</t>
  </si>
  <si>
    <t>Central Trust Co of NE OH, N.A./Surety</t>
  </si>
  <si>
    <t>149.80</t>
  </si>
  <si>
    <t>035-00140</t>
  </si>
  <si>
    <t>Jeremy Hough</t>
  </si>
  <si>
    <t>2172 South 9th Street
Tuscarawas - RV</t>
  </si>
  <si>
    <t>1965 Pontiac Chief Mobile Home</t>
  </si>
  <si>
    <t>2019CI0364</t>
  </si>
  <si>
    <t>Next Sale
 in 2021</t>
  </si>
  <si>
    <t>Nichole R Braxton</t>
  </si>
  <si>
    <t>381 South 9th Street
Coshocton Corp - CSD</t>
  </si>
  <si>
    <t>IN LOT 1035 42 X 149 02 DOC 4490</t>
  </si>
  <si>
    <t>2018CI0405</t>
  </si>
  <si>
    <t>010-00117</t>
  </si>
  <si>
    <t>Jerome Starner</t>
  </si>
  <si>
    <t>18169 TR 284
Franklin - RV</t>
  </si>
  <si>
    <t>2019-CI0287</t>
  </si>
  <si>
    <t>CCLRC</t>
  </si>
  <si>
    <t>VIC ALLEN</t>
  </si>
  <si>
    <t>KAEDYN CARROLL</t>
  </si>
  <si>
    <t>STEVEN BELT</t>
  </si>
  <si>
    <t>KAEDYN CARROLL ASSIGNE TO GEORGE D OLIVER JR</t>
  </si>
  <si>
    <t xml:space="preserve">GORDON SPILLMAN </t>
  </si>
  <si>
    <t>CURRENT LIST OF FORFEITED PARCELS          DATE:  MAY 14, 2021 AT 10:30AM      COSHOCTON COUNTY COURTHOUSE</t>
  </si>
  <si>
    <t>* 4/19/2021
TAX DUE *</t>
  </si>
  <si>
    <t>Forfeited to Ohio; Offered at Auditor's Sale &amp; received no bid 10/19/18 &amp; 5/10/19 &amp; 10/18/19 &amp; 9/18/20</t>
  </si>
  <si>
    <t>May 14, 2021</t>
  </si>
  <si>
    <t>Forfeited to Ohio; Offered at Auditor's Sale &amp; received no bid 5/10/19 &amp;10/18/19 &amp; 9/18/20</t>
  </si>
  <si>
    <t>Forfeited to Ohio; Offered at Auditor's Sale &amp; received no bid 9/18/20</t>
  </si>
  <si>
    <t>-</t>
  </si>
  <si>
    <t>Marvin
Lillibridge</t>
  </si>
  <si>
    <t>Robin Belt</t>
  </si>
  <si>
    <t>Steven Belt</t>
  </si>
  <si>
    <t>Riley Utsler</t>
  </si>
  <si>
    <t>William Smith</t>
  </si>
  <si>
    <t>Brenda Hayes</t>
  </si>
  <si>
    <t>Jordan Tarman</t>
  </si>
  <si>
    <t>Jesse Cox</t>
  </si>
  <si>
    <t>CURRENT LIST OF FORFEITED PARCELS          DATE:  OCTOBER 29, 2021 AT 10:30AM      COSHOCTON COUNTY COURTHOUSE</t>
  </si>
  <si>
    <t>*10/7/2021
TAX DUE *</t>
  </si>
  <si>
    <t>October 29, 2021</t>
  </si>
  <si>
    <t>Forfeited to Ohio; Offered at Auditor's Sale &amp; received no bid 5/10/19 &amp;10/18/19 &amp; 9/18/20 &amp; 5/14/2021</t>
  </si>
  <si>
    <t>005-00330033-01</t>
  </si>
  <si>
    <t>John S Mullett</t>
  </si>
  <si>
    <t>CR 318
Clark - RV</t>
  </si>
  <si>
    <t>PT SE LOT 16
1.549 Acres</t>
  </si>
  <si>
    <t>20CI0078</t>
  </si>
  <si>
    <t>026-00086</t>
  </si>
  <si>
    <t>Andy R Barkman</t>
  </si>
  <si>
    <t>38957 CR 33
Monroe - RV</t>
  </si>
  <si>
    <t>1972 Buddy
 Mobile Home</t>
  </si>
  <si>
    <t>20 CI 0325</t>
  </si>
  <si>
    <t>TBD</t>
  </si>
  <si>
    <t>017-00035</t>
  </si>
  <si>
    <t>Donald &amp; Sally Erow</t>
  </si>
  <si>
    <t>46551 TR 28
Virginia - RV</t>
  </si>
  <si>
    <t>1999 Redman Mobile Home</t>
  </si>
  <si>
    <t>20 CI 0328</t>
  </si>
  <si>
    <t>No Bidders</t>
  </si>
  <si>
    <t>CURRENT LIST OF FORFEITED PARCELS          DATE:  MAY 27, 2022 AT 10:30AM      COSHOCTON COUNTY COURTHOUSE</t>
  </si>
  <si>
    <t>CASE
NUMBER</t>
  </si>
  <si>
    <t>*4/15/22
TAX DUE *</t>
  </si>
  <si>
    <t>18CI0269</t>
  </si>
  <si>
    <t>Destroyed by Fire March 9, 2022</t>
  </si>
  <si>
    <t>Forfeited to Ohio; Offered at Auditor's Sale &amp; received no bid 5/10/19 &amp;10/18/19 &amp; 9/18/20 &amp; 5/14/2021 &amp; 10/29/2021</t>
  </si>
  <si>
    <t>Forfeited to Ohio; Offered at Auditor's Sale &amp; received no bid 9/18/20 &amp;10/29/2021</t>
  </si>
  <si>
    <t>May 27, 2022</t>
  </si>
  <si>
    <t>Forfeited to Ohio; Offered at Auditor's Sale &amp; received no bid 10/29/2021</t>
  </si>
  <si>
    <t>20CI0325</t>
  </si>
  <si>
    <t>46551 TR 28
Keene - RV</t>
  </si>
  <si>
    <t>20CI0328</t>
  </si>
  <si>
    <t>Redeemed by mortgagor/will not be sold.</t>
  </si>
  <si>
    <t>038-20200077-00</t>
  </si>
  <si>
    <t>Peabody Coal Company</t>
  </si>
  <si>
    <t>CR 297
Virginia - RV</t>
  </si>
  <si>
    <t>2nd Qtr PT 20 
3 AC</t>
  </si>
  <si>
    <t>20CI0167</t>
  </si>
  <si>
    <t>026-00000494-00</t>
  </si>
  <si>
    <t>Blatt Cheryl G, Hosket Jonathon S &amp; William R &amp; Charles D, Blatt Cheryl G TTEE</t>
  </si>
  <si>
    <t>CR 22
Monroe - RV</t>
  </si>
  <si>
    <t>IN-LOT 6 PT 
66 X 132</t>
  </si>
  <si>
    <t>21CI0253</t>
  </si>
  <si>
    <t>008-05200075-00</t>
  </si>
  <si>
    <t xml:space="preserve">Clarence A &amp; Mildred A Wolff </t>
  </si>
  <si>
    <t>CR 10
Crawford - Garaway</t>
  </si>
  <si>
    <t>PT E 1/2 OF SEC QTR SEC 7</t>
  </si>
  <si>
    <t>21CI0176</t>
  </si>
  <si>
    <t>015-00000009-00</t>
  </si>
  <si>
    <t>Larry &amp; Patricia J Hart Sr</t>
  </si>
  <si>
    <t>CR 41
Nellie Corp - RV</t>
  </si>
  <si>
    <t>Tract No. 6 
Land In Nellie Corp</t>
  </si>
  <si>
    <t xml:space="preserve">21CI0249 </t>
  </si>
  <si>
    <t>018-00000109-00</t>
  </si>
  <si>
    <t>Andrew D Johnson</t>
  </si>
  <si>
    <t>SR 16
Lafayette - RDGWD</t>
  </si>
  <si>
    <t>N PT 6
4.5455 Acres</t>
  </si>
  <si>
    <t xml:space="preserve">21CI0240 </t>
  </si>
  <si>
    <t>BLAKE HAMILTON</t>
  </si>
  <si>
    <t>RIVER BLUFF TIMBER LLC</t>
  </si>
  <si>
    <t>MARLIN MILLER</t>
  </si>
  <si>
    <t>JAMES BLAIR</t>
  </si>
  <si>
    <t>Forfeited to Ohio; Offered at Auditor's Sale &amp; received no bid 9/18/20 &amp;10/29/2021 &amp; 5/27/2022</t>
  </si>
  <si>
    <t>Forfeited to Ohio; Offered at Auditor's Sale &amp; received no bid 5/27/2022</t>
  </si>
  <si>
    <t>In-lot 6 PT 
66 X 132</t>
  </si>
  <si>
    <t>043-00003344-00</t>
  </si>
  <si>
    <t>Robert H Randles</t>
  </si>
  <si>
    <t>N 15th Street
Coshocton Corp - CSD</t>
  </si>
  <si>
    <t>Out-Lot 177 
.005 5 X 43.5</t>
  </si>
  <si>
    <t>21CI377</t>
  </si>
  <si>
    <t>027-06201046-00</t>
  </si>
  <si>
    <t>William K Johnson et al</t>
  </si>
  <si>
    <t>TR 518
New Castle - RV</t>
  </si>
  <si>
    <t>Village of Walhonding, Adj to In-lot 52</t>
  </si>
  <si>
    <t>20CI310</t>
  </si>
  <si>
    <t>029-17208023-01</t>
  </si>
  <si>
    <t>SR 751
Oxford - Ridgewood</t>
  </si>
  <si>
    <t>Orange Lot PT VAC High St 24.75 X 99 &amp; Evens St 24.75 X 66</t>
  </si>
  <si>
    <t>029-17208023-00</t>
  </si>
  <si>
    <t>Orange PT VAC High St 24.75 X 99 &amp; Evens St 24.75 X 66</t>
  </si>
  <si>
    <t>029-17208019-00</t>
  </si>
  <si>
    <t>Orange PT VAC High St 24.75 X 44.33 &amp; TR 1248</t>
  </si>
  <si>
    <t>039-00032</t>
  </si>
  <si>
    <t>Tyler R Pinks</t>
  </si>
  <si>
    <t>41885 TR 296
Virginia - RV</t>
  </si>
  <si>
    <t>1980 Skyline Mobile Home</t>
  </si>
  <si>
    <t>21CI107</t>
  </si>
  <si>
    <t>CURRENT LIST OF FORFEITED PARCELS          DATE:  OCTOBER 28, 2022 AT 10:30AM      COSHOCTON COUNTY COURTHOUSE</t>
  </si>
  <si>
    <t>*9/23/22
TAX DUE *</t>
  </si>
  <si>
    <t>LAND SELECTED BY COSHOCTON COUNTY REUTILIZATION CORPORATION (CCLRC) THAT IT WISHES TO ACQUIRE IF MINIMAL BID (TAXES &amp; COSTS) NOT MET</t>
  </si>
  <si>
    <t>HAROLD SCHEETZ</t>
  </si>
  <si>
    <t>DANIEL WOERNER JR</t>
  </si>
  <si>
    <t>CURRENT LIST OF FORFEITED PARCELS          DATE: MAY 26, 2023 AT 10:30AM      COSHOCTON COUNTY COURTHOUSE</t>
  </si>
  <si>
    <t>5/4/2023
TAX DUE *</t>
  </si>
  <si>
    <t>1979 Bayview 
Mobile Home</t>
  </si>
  <si>
    <t>Forfeited to Ohio; Offered at Auditor's Sale &amp; received no bid 9/18/20 &amp;10/29/2021 &amp; 5/27/2022 &amp; 10/28/2022</t>
  </si>
  <si>
    <t>Forfeited to Ohio; Offered at Auditor's Sale &amp; received no bid 5/27/2022 &amp; 10/28/2022</t>
  </si>
  <si>
    <t>Forfeited to Ohio; Offered at Auditor's Sale &amp; received no bid 10/28/2022</t>
  </si>
  <si>
    <t>036-00000009-03</t>
  </si>
  <si>
    <t>ALM Woodlands LTD</t>
  </si>
  <si>
    <t>TR 484
Tuscarawas - RDGWD</t>
  </si>
  <si>
    <t>PT Lot 6</t>
  </si>
  <si>
    <t>21CI0303</t>
  </si>
  <si>
    <t>031-00000346-07</t>
  </si>
  <si>
    <t>CR 18
Perry - RV</t>
  </si>
  <si>
    <t>PT NW 
Minerals/Oil &amp; Gas Rights Only</t>
  </si>
  <si>
    <t>21CI0305</t>
  </si>
  <si>
    <t>031-00000346-08</t>
  </si>
  <si>
    <t>NW QTR SEC 18
Minerals/Oil &amp; Gas Rights Only</t>
  </si>
  <si>
    <t>043-00001877-00</t>
  </si>
  <si>
    <t>Walter J &amp; Judith C Lindel</t>
  </si>
  <si>
    <t>Locust Street Coshocton Corp - CSD</t>
  </si>
  <si>
    <t>IN-LOT 388 W PT S 1/2 7.09 x 100 (.016A)</t>
  </si>
  <si>
    <t>22CI0268</t>
  </si>
  <si>
    <t>043-00001878-00</t>
  </si>
  <si>
    <t>604 Locust Street Coshocton Corp - CSD</t>
  </si>
  <si>
    <t>IN-LOT 387 S 1/2 52.83 X 100 &amp; IN-LOT 388 W PT S 1/2 .91 X 100</t>
  </si>
  <si>
    <t>JUSTIN FREEMAN</t>
  </si>
  <si>
    <t>REUBEN BURKHOLDER</t>
  </si>
  <si>
    <t>REDEEMED BY OWNER BEFORE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</si>
</sst>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;@"/>
    <numFmt numFmtId="165" formatCode="0.00_);[Red]\(0.00\)"/>
    <numFmt numFmtId="166" formatCode="mm/dd/yy;@"/>
    <numFmt numFmtId="167" formatCode="&quot;$&quot;#,##0"/>
    <numFmt numFmtId="168" formatCode="&quot;$&quot;#,##0.00"/>
  </numFmts>
  <fonts count="3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rgb="FF000000"/>
      <name val="Calibri"/>
      <family val="2"/>
      <scheme val="minor"/>
    </font>
    <font>
      <b/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2"/>
      <color rgb="FFFF0000"/>
      <name val="Arial"/>
      <family val="2"/>
    </font>
    <font>
      <strike/>
      <sz val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trike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88">
    <xf numFmtId="0" fontId="0" fillId="0" borderId="0" xfId="0"/>
    <xf numFmtId="0" fontId="0" fillId="0" borderId="0" xfId="0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2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5" fontId="16" fillId="0" borderId="2" xfId="1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/>
    </xf>
    <xf numFmtId="167" fontId="16" fillId="0" borderId="2" xfId="0" applyNumberFormat="1" applyFont="1" applyFill="1" applyBorder="1" applyAlignment="1">
      <alignment horizontal="center" vertical="center" wrapText="1"/>
    </xf>
    <xf numFmtId="167" fontId="16" fillId="0" borderId="2" xfId="0" applyNumberFormat="1" applyFont="1" applyFill="1" applyBorder="1" applyAlignment="1">
      <alignment horizontal="center" vertical="center"/>
    </xf>
    <xf numFmtId="167" fontId="16" fillId="0" borderId="0" xfId="0" applyNumberFormat="1" applyFont="1" applyFill="1" applyAlignment="1">
      <alignment horizontal="center" vertical="center"/>
    </xf>
    <xf numFmtId="168" fontId="13" fillId="0" borderId="2" xfId="0" applyNumberFormat="1" applyFont="1" applyFill="1" applyBorder="1" applyAlignment="1">
      <alignment horizontal="center" vertical="center" wrapText="1"/>
    </xf>
    <xf numFmtId="168" fontId="15" fillId="0" borderId="2" xfId="0" applyNumberFormat="1" applyFont="1" applyFill="1" applyBorder="1" applyAlignment="1">
      <alignment horizontal="center" vertical="center"/>
    </xf>
    <xf numFmtId="168" fontId="13" fillId="0" borderId="0" xfId="0" applyNumberFormat="1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center" vertical="center"/>
    </xf>
    <xf numFmtId="168" fontId="15" fillId="0" borderId="0" xfId="0" applyNumberFormat="1" applyFont="1" applyFill="1" applyAlignment="1">
      <alignment horizontal="center" vertical="center"/>
    </xf>
    <xf numFmtId="14" fontId="21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center" vertical="center"/>
    </xf>
    <xf numFmtId="167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165" fontId="22" fillId="0" borderId="2" xfId="1" applyNumberFormat="1" applyFont="1" applyFill="1" applyBorder="1" applyAlignment="1">
      <alignment horizontal="center" vertical="center"/>
    </xf>
    <xf numFmtId="3" fontId="22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4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3" fontId="22" fillId="0" borderId="0" xfId="0" applyNumberFormat="1" applyFont="1" applyFill="1" applyAlignment="1">
      <alignment horizontal="center" vertical="center"/>
    </xf>
    <xf numFmtId="4" fontId="22" fillId="0" borderId="0" xfId="0" applyNumberFormat="1" applyFont="1" applyFill="1" applyAlignment="1">
      <alignment horizontal="center" vertical="center"/>
    </xf>
    <xf numFmtId="167" fontId="22" fillId="0" borderId="0" xfId="0" applyNumberFormat="1" applyFont="1" applyFill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8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2" fontId="22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right" vertical="center"/>
    </xf>
    <xf numFmtId="14" fontId="25" fillId="0" borderId="2" xfId="0" applyNumberFormat="1" applyFont="1" applyFill="1" applyBorder="1" applyAlignment="1">
      <alignment horizontal="center" vertical="center"/>
    </xf>
    <xf numFmtId="168" fontId="22" fillId="0" borderId="0" xfId="0" applyNumberFormat="1" applyFont="1" applyFill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" fontId="26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168" fontId="22" fillId="0" borderId="2" xfId="0" applyNumberFormat="1" applyFont="1" applyFill="1" applyBorder="1" applyAlignment="1">
      <alignment horizontal="center" vertical="center" wrapText="1"/>
    </xf>
    <xf numFmtId="167" fontId="22" fillId="0" borderId="2" xfId="0" applyNumberFormat="1" applyFont="1" applyFill="1" applyBorder="1" applyAlignment="1">
      <alignment vertical="center" wrapText="1"/>
    </xf>
    <xf numFmtId="4" fontId="22" fillId="0" borderId="2" xfId="0" applyNumberFormat="1" applyFont="1" applyFill="1" applyBorder="1" applyAlignment="1">
      <alignment vertical="center"/>
    </xf>
    <xf numFmtId="1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165" fontId="27" fillId="0" borderId="2" xfId="1" applyNumberFormat="1" applyFont="1" applyFill="1" applyBorder="1" applyAlignment="1">
      <alignment horizontal="center" vertical="center"/>
    </xf>
    <xf numFmtId="3" fontId="27" fillId="0" borderId="2" xfId="0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3" fontId="22" fillId="2" borderId="2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horizontal="center" vertical="center"/>
    </xf>
    <xf numFmtId="168" fontId="22" fillId="2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26" fillId="3" borderId="2" xfId="0" applyNumberFormat="1" applyFont="1" applyFill="1" applyBorder="1" applyAlignment="1">
      <alignment horizontal="center" vertical="center" wrapText="1"/>
    </xf>
    <xf numFmtId="4" fontId="26" fillId="3" borderId="2" xfId="0" applyNumberFormat="1" applyFont="1" applyFill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3" fontId="22" fillId="4" borderId="2" xfId="0" applyNumberFormat="1" applyFont="1" applyFill="1" applyBorder="1" applyAlignment="1">
      <alignment horizontal="center" vertical="center"/>
    </xf>
    <xf numFmtId="4" fontId="22" fillId="4" borderId="2" xfId="0" applyNumberFormat="1" applyFont="1" applyFill="1" applyBorder="1" applyAlignment="1">
      <alignment horizontal="center" vertical="center"/>
    </xf>
    <xf numFmtId="49" fontId="30" fillId="4" borderId="2" xfId="0" applyNumberFormat="1" applyFont="1" applyFill="1" applyBorder="1" applyAlignment="1">
      <alignment horizontal="center" vertical="center" wrapText="1"/>
    </xf>
    <xf numFmtId="15" fontId="22" fillId="0" borderId="2" xfId="0" applyNumberFormat="1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vertical="center"/>
    </xf>
    <xf numFmtId="4" fontId="22" fillId="4" borderId="2" xfId="0" applyNumberFormat="1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3" fontId="26" fillId="3" borderId="2" xfId="0" applyNumberFormat="1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vertical="center"/>
    </xf>
    <xf numFmtId="0" fontId="25" fillId="0" borderId="2" xfId="0" applyFont="1" applyBorder="1" applyAlignment="1">
      <alignment horizontal="right" vertical="center"/>
    </xf>
    <xf numFmtId="14" fontId="25" fillId="0" borderId="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67" fontId="21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/>
    </xf>
    <xf numFmtId="168" fontId="22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2" fontId="22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4" fontId="22" fillId="0" borderId="2" xfId="0" applyNumberFormat="1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14" fontId="22" fillId="6" borderId="2" xfId="0" applyNumberFormat="1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0" fillId="0" borderId="0" xfId="0" applyFill="1" applyBorder="1"/>
    <xf numFmtId="14" fontId="33" fillId="0" borderId="2" xfId="0" applyNumberFormat="1" applyFont="1" applyBorder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/>
    </xf>
    <xf numFmtId="0" fontId="29" fillId="6" borderId="2" xfId="0" applyFont="1" applyFill="1" applyBorder="1" applyAlignment="1">
      <alignment vertical="center"/>
    </xf>
    <xf numFmtId="4" fontId="22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center" vertical="center" wrapText="1"/>
    </xf>
    <xf numFmtId="4" fontId="22" fillId="0" borderId="6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/>
    </xf>
    <xf numFmtId="4" fontId="22" fillId="0" borderId="4" xfId="0" applyNumberFormat="1" applyFont="1" applyFill="1" applyBorder="1" applyAlignment="1">
      <alignment horizontal="center" vertical="center"/>
    </xf>
    <xf numFmtId="4" fontId="22" fillId="0" borderId="6" xfId="0" applyNumberFormat="1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67" fontId="27" fillId="0" borderId="3" xfId="0" applyNumberFormat="1" applyFont="1" applyFill="1" applyBorder="1" applyAlignment="1">
      <alignment horizontal="center" vertical="center"/>
    </xf>
    <xf numFmtId="167" fontId="27" fillId="0" borderId="4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167" fontId="27" fillId="0" borderId="3" xfId="0" applyNumberFormat="1" applyFont="1" applyFill="1" applyBorder="1" applyAlignment="1">
      <alignment horizontal="center" vertical="center" wrapText="1"/>
    </xf>
    <xf numFmtId="167" fontId="27" fillId="0" borderId="4" xfId="0" applyNumberFormat="1" applyFont="1" applyFill="1" applyBorder="1" applyAlignment="1">
      <alignment horizontal="center" vertical="center" wrapText="1"/>
    </xf>
    <xf numFmtId="167" fontId="27" fillId="0" borderId="6" xfId="0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167" fontId="22" fillId="0" borderId="3" xfId="0" applyNumberFormat="1" applyFont="1" applyFill="1" applyBorder="1" applyAlignment="1">
      <alignment horizontal="center" vertical="center" wrapText="1"/>
    </xf>
    <xf numFmtId="167" fontId="22" fillId="0" borderId="4" xfId="0" applyNumberFormat="1" applyFont="1" applyFill="1" applyBorder="1" applyAlignment="1">
      <alignment horizontal="center" vertical="center" wrapText="1"/>
    </xf>
    <xf numFmtId="167" fontId="22" fillId="0" borderId="6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/>
    </xf>
    <xf numFmtId="4" fontId="27" fillId="0" borderId="6" xfId="0" applyNumberFormat="1" applyFont="1" applyBorder="1" applyAlignment="1">
      <alignment horizontal="center"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4" xfId="0" applyFont="1" applyFill="1" applyBorder="1" applyAlignment="1">
      <alignment horizontal="left" vertical="center"/>
    </xf>
    <xf numFmtId="0" fontId="29" fillId="4" borderId="6" xfId="0" applyFont="1" applyFill="1" applyBorder="1" applyAlignment="1">
      <alignment horizontal="left" vertical="center"/>
    </xf>
    <xf numFmtId="2" fontId="22" fillId="0" borderId="2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67" fontId="22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4" fontId="27" fillId="4" borderId="2" xfId="0" applyNumberFormat="1" applyFont="1" applyFill="1" applyBorder="1" applyAlignment="1">
      <alignment horizontal="center" vertical="center"/>
    </xf>
    <xf numFmtId="3" fontId="27" fillId="4" borderId="2" xfId="0" applyNumberFormat="1" applyFont="1" applyFill="1" applyBorder="1" applyAlignment="1">
      <alignment horizontal="center" vertical="center"/>
    </xf>
    <xf numFmtId="2" fontId="27" fillId="4" borderId="2" xfId="0" applyNumberFormat="1" applyFont="1" applyFill="1" applyBorder="1" applyAlignment="1">
      <alignment horizontal="center" vertical="center" wrapText="1"/>
    </xf>
    <xf numFmtId="167" fontId="27" fillId="4" borderId="2" xfId="0" applyNumberFormat="1" applyFont="1" applyFill="1" applyBorder="1" applyAlignment="1">
      <alignment horizontal="center" vertical="center"/>
    </xf>
    <xf numFmtId="164" fontId="27" fillId="4" borderId="2" xfId="0" applyNumberFormat="1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3"/>
  <sheetViews>
    <sheetView workbookViewId="0">
      <selection activeCell="O9" sqref="O9"/>
    </sheetView>
  </sheetViews>
  <sheetFormatPr defaultRowHeight="15" x14ac:dyDescent="0.25"/>
  <cols>
    <col min="1" max="1" width="5.42578125" style="3" bestFit="1" customWidth="1"/>
    <col min="2" max="2" width="15.5703125" style="3" bestFit="1" customWidth="1"/>
    <col min="3" max="3" width="17.7109375" style="4" bestFit="1" customWidth="1"/>
    <col min="4" max="4" width="60.85546875" style="4" bestFit="1" customWidth="1"/>
    <col min="5" max="5" width="9" style="3" bestFit="1" customWidth="1"/>
    <col min="6" max="6" width="12.85546875" style="5" bestFit="1" customWidth="1"/>
    <col min="7" max="7" width="9.42578125" style="18" bestFit="1" customWidth="1"/>
    <col min="8" max="8" width="8.140625" style="18" bestFit="1" customWidth="1"/>
    <col min="9" max="9" width="9.140625" style="18" bestFit="1" customWidth="1"/>
    <col min="10" max="10" width="8" style="78" bestFit="1" customWidth="1"/>
    <col min="11" max="12" width="15" style="3" bestFit="1" customWidth="1"/>
    <col min="13" max="13" width="7.7109375" style="3" bestFit="1" customWidth="1"/>
    <col min="14" max="14" width="12.140625" style="3" bestFit="1" customWidth="1"/>
    <col min="15" max="256" width="9.140625" style="3"/>
    <col min="257" max="257" width="5.42578125" style="3" bestFit="1" customWidth="1"/>
    <col min="258" max="258" width="15.5703125" style="3" bestFit="1" customWidth="1"/>
    <col min="259" max="259" width="13.42578125" style="3" bestFit="1" customWidth="1"/>
    <col min="260" max="260" width="106.28515625" style="3" bestFit="1" customWidth="1"/>
    <col min="261" max="261" width="9" style="3" bestFit="1" customWidth="1"/>
    <col min="262" max="262" width="12.85546875" style="3" bestFit="1" customWidth="1"/>
    <col min="263" max="263" width="10" style="3" customWidth="1"/>
    <col min="264" max="264" width="8.140625" style="3" bestFit="1" customWidth="1"/>
    <col min="265" max="266" width="9.140625" style="3" bestFit="1" customWidth="1"/>
    <col min="267" max="267" width="12" style="3" bestFit="1" customWidth="1"/>
    <col min="268" max="268" width="9" style="3" bestFit="1" customWidth="1"/>
    <col min="269" max="269" width="7.7109375" style="3" bestFit="1" customWidth="1"/>
    <col min="270" max="270" width="12.140625" style="3" bestFit="1" customWidth="1"/>
    <col min="271" max="512" width="9.140625" style="3"/>
    <col min="513" max="513" width="5.42578125" style="3" bestFit="1" customWidth="1"/>
    <col min="514" max="514" width="15.5703125" style="3" bestFit="1" customWidth="1"/>
    <col min="515" max="515" width="13.42578125" style="3" bestFit="1" customWidth="1"/>
    <col min="516" max="516" width="106.28515625" style="3" bestFit="1" customWidth="1"/>
    <col min="517" max="517" width="9" style="3" bestFit="1" customWidth="1"/>
    <col min="518" max="518" width="12.85546875" style="3" bestFit="1" customWidth="1"/>
    <col min="519" max="519" width="10" style="3" customWidth="1"/>
    <col min="520" max="520" width="8.140625" style="3" bestFit="1" customWidth="1"/>
    <col min="521" max="522" width="9.140625" style="3" bestFit="1" customWidth="1"/>
    <col min="523" max="523" width="12" style="3" bestFit="1" customWidth="1"/>
    <col min="524" max="524" width="9" style="3" bestFit="1" customWidth="1"/>
    <col min="525" max="525" width="7.7109375" style="3" bestFit="1" customWidth="1"/>
    <col min="526" max="526" width="12.140625" style="3" bestFit="1" customWidth="1"/>
    <col min="527" max="768" width="9.140625" style="3"/>
    <col min="769" max="769" width="5.42578125" style="3" bestFit="1" customWidth="1"/>
    <col min="770" max="770" width="15.5703125" style="3" bestFit="1" customWidth="1"/>
    <col min="771" max="771" width="13.42578125" style="3" bestFit="1" customWidth="1"/>
    <col min="772" max="772" width="106.28515625" style="3" bestFit="1" customWidth="1"/>
    <col min="773" max="773" width="9" style="3" bestFit="1" customWidth="1"/>
    <col min="774" max="774" width="12.85546875" style="3" bestFit="1" customWidth="1"/>
    <col min="775" max="775" width="10" style="3" customWidth="1"/>
    <col min="776" max="776" width="8.140625" style="3" bestFit="1" customWidth="1"/>
    <col min="777" max="778" width="9.140625" style="3" bestFit="1" customWidth="1"/>
    <col min="779" max="779" width="12" style="3" bestFit="1" customWidth="1"/>
    <col min="780" max="780" width="9" style="3" bestFit="1" customWidth="1"/>
    <col min="781" max="781" width="7.7109375" style="3" bestFit="1" customWidth="1"/>
    <col min="782" max="782" width="12.140625" style="3" bestFit="1" customWidth="1"/>
    <col min="783" max="1024" width="9.140625" style="3"/>
    <col min="1025" max="1025" width="5.42578125" style="3" bestFit="1" customWidth="1"/>
    <col min="1026" max="1026" width="15.5703125" style="3" bestFit="1" customWidth="1"/>
    <col min="1027" max="1027" width="13.42578125" style="3" bestFit="1" customWidth="1"/>
    <col min="1028" max="1028" width="106.28515625" style="3" bestFit="1" customWidth="1"/>
    <col min="1029" max="1029" width="9" style="3" bestFit="1" customWidth="1"/>
    <col min="1030" max="1030" width="12.85546875" style="3" bestFit="1" customWidth="1"/>
    <col min="1031" max="1031" width="10" style="3" customWidth="1"/>
    <col min="1032" max="1032" width="8.140625" style="3" bestFit="1" customWidth="1"/>
    <col min="1033" max="1034" width="9.140625" style="3" bestFit="1" customWidth="1"/>
    <col min="1035" max="1035" width="12" style="3" bestFit="1" customWidth="1"/>
    <col min="1036" max="1036" width="9" style="3" bestFit="1" customWidth="1"/>
    <col min="1037" max="1037" width="7.7109375" style="3" bestFit="1" customWidth="1"/>
    <col min="1038" max="1038" width="12.140625" style="3" bestFit="1" customWidth="1"/>
    <col min="1039" max="1280" width="9.140625" style="3"/>
    <col min="1281" max="1281" width="5.42578125" style="3" bestFit="1" customWidth="1"/>
    <col min="1282" max="1282" width="15.5703125" style="3" bestFit="1" customWidth="1"/>
    <col min="1283" max="1283" width="13.42578125" style="3" bestFit="1" customWidth="1"/>
    <col min="1284" max="1284" width="106.28515625" style="3" bestFit="1" customWidth="1"/>
    <col min="1285" max="1285" width="9" style="3" bestFit="1" customWidth="1"/>
    <col min="1286" max="1286" width="12.85546875" style="3" bestFit="1" customWidth="1"/>
    <col min="1287" max="1287" width="10" style="3" customWidth="1"/>
    <col min="1288" max="1288" width="8.140625" style="3" bestFit="1" customWidth="1"/>
    <col min="1289" max="1290" width="9.140625" style="3" bestFit="1" customWidth="1"/>
    <col min="1291" max="1291" width="12" style="3" bestFit="1" customWidth="1"/>
    <col min="1292" max="1292" width="9" style="3" bestFit="1" customWidth="1"/>
    <col min="1293" max="1293" width="7.7109375" style="3" bestFit="1" customWidth="1"/>
    <col min="1294" max="1294" width="12.140625" style="3" bestFit="1" customWidth="1"/>
    <col min="1295" max="1536" width="9.140625" style="3"/>
    <col min="1537" max="1537" width="5.42578125" style="3" bestFit="1" customWidth="1"/>
    <col min="1538" max="1538" width="15.5703125" style="3" bestFit="1" customWidth="1"/>
    <col min="1539" max="1539" width="13.42578125" style="3" bestFit="1" customWidth="1"/>
    <col min="1540" max="1540" width="106.28515625" style="3" bestFit="1" customWidth="1"/>
    <col min="1541" max="1541" width="9" style="3" bestFit="1" customWidth="1"/>
    <col min="1542" max="1542" width="12.85546875" style="3" bestFit="1" customWidth="1"/>
    <col min="1543" max="1543" width="10" style="3" customWidth="1"/>
    <col min="1544" max="1544" width="8.140625" style="3" bestFit="1" customWidth="1"/>
    <col min="1545" max="1546" width="9.140625" style="3" bestFit="1" customWidth="1"/>
    <col min="1547" max="1547" width="12" style="3" bestFit="1" customWidth="1"/>
    <col min="1548" max="1548" width="9" style="3" bestFit="1" customWidth="1"/>
    <col min="1549" max="1549" width="7.7109375" style="3" bestFit="1" customWidth="1"/>
    <col min="1550" max="1550" width="12.140625" style="3" bestFit="1" customWidth="1"/>
    <col min="1551" max="1792" width="9.140625" style="3"/>
    <col min="1793" max="1793" width="5.42578125" style="3" bestFit="1" customWidth="1"/>
    <col min="1794" max="1794" width="15.5703125" style="3" bestFit="1" customWidth="1"/>
    <col min="1795" max="1795" width="13.42578125" style="3" bestFit="1" customWidth="1"/>
    <col min="1796" max="1796" width="106.28515625" style="3" bestFit="1" customWidth="1"/>
    <col min="1797" max="1797" width="9" style="3" bestFit="1" customWidth="1"/>
    <col min="1798" max="1798" width="12.85546875" style="3" bestFit="1" customWidth="1"/>
    <col min="1799" max="1799" width="10" style="3" customWidth="1"/>
    <col min="1800" max="1800" width="8.140625" style="3" bestFit="1" customWidth="1"/>
    <col min="1801" max="1802" width="9.140625" style="3" bestFit="1" customWidth="1"/>
    <col min="1803" max="1803" width="12" style="3" bestFit="1" customWidth="1"/>
    <col min="1804" max="1804" width="9" style="3" bestFit="1" customWidth="1"/>
    <col min="1805" max="1805" width="7.7109375" style="3" bestFit="1" customWidth="1"/>
    <col min="1806" max="1806" width="12.140625" style="3" bestFit="1" customWidth="1"/>
    <col min="1807" max="2048" width="9.140625" style="3"/>
    <col min="2049" max="2049" width="5.42578125" style="3" bestFit="1" customWidth="1"/>
    <col min="2050" max="2050" width="15.5703125" style="3" bestFit="1" customWidth="1"/>
    <col min="2051" max="2051" width="13.42578125" style="3" bestFit="1" customWidth="1"/>
    <col min="2052" max="2052" width="106.28515625" style="3" bestFit="1" customWidth="1"/>
    <col min="2053" max="2053" width="9" style="3" bestFit="1" customWidth="1"/>
    <col min="2054" max="2054" width="12.85546875" style="3" bestFit="1" customWidth="1"/>
    <col min="2055" max="2055" width="10" style="3" customWidth="1"/>
    <col min="2056" max="2056" width="8.140625" style="3" bestFit="1" customWidth="1"/>
    <col min="2057" max="2058" width="9.140625" style="3" bestFit="1" customWidth="1"/>
    <col min="2059" max="2059" width="12" style="3" bestFit="1" customWidth="1"/>
    <col min="2060" max="2060" width="9" style="3" bestFit="1" customWidth="1"/>
    <col min="2061" max="2061" width="7.7109375" style="3" bestFit="1" customWidth="1"/>
    <col min="2062" max="2062" width="12.140625" style="3" bestFit="1" customWidth="1"/>
    <col min="2063" max="2304" width="9.140625" style="3"/>
    <col min="2305" max="2305" width="5.42578125" style="3" bestFit="1" customWidth="1"/>
    <col min="2306" max="2306" width="15.5703125" style="3" bestFit="1" customWidth="1"/>
    <col min="2307" max="2307" width="13.42578125" style="3" bestFit="1" customWidth="1"/>
    <col min="2308" max="2308" width="106.28515625" style="3" bestFit="1" customWidth="1"/>
    <col min="2309" max="2309" width="9" style="3" bestFit="1" customWidth="1"/>
    <col min="2310" max="2310" width="12.85546875" style="3" bestFit="1" customWidth="1"/>
    <col min="2311" max="2311" width="10" style="3" customWidth="1"/>
    <col min="2312" max="2312" width="8.140625" style="3" bestFit="1" customWidth="1"/>
    <col min="2313" max="2314" width="9.140625" style="3" bestFit="1" customWidth="1"/>
    <col min="2315" max="2315" width="12" style="3" bestFit="1" customWidth="1"/>
    <col min="2316" max="2316" width="9" style="3" bestFit="1" customWidth="1"/>
    <col min="2317" max="2317" width="7.7109375" style="3" bestFit="1" customWidth="1"/>
    <col min="2318" max="2318" width="12.140625" style="3" bestFit="1" customWidth="1"/>
    <col min="2319" max="2560" width="9.140625" style="3"/>
    <col min="2561" max="2561" width="5.42578125" style="3" bestFit="1" customWidth="1"/>
    <col min="2562" max="2562" width="15.5703125" style="3" bestFit="1" customWidth="1"/>
    <col min="2563" max="2563" width="13.42578125" style="3" bestFit="1" customWidth="1"/>
    <col min="2564" max="2564" width="106.28515625" style="3" bestFit="1" customWidth="1"/>
    <col min="2565" max="2565" width="9" style="3" bestFit="1" customWidth="1"/>
    <col min="2566" max="2566" width="12.85546875" style="3" bestFit="1" customWidth="1"/>
    <col min="2567" max="2567" width="10" style="3" customWidth="1"/>
    <col min="2568" max="2568" width="8.140625" style="3" bestFit="1" customWidth="1"/>
    <col min="2569" max="2570" width="9.140625" style="3" bestFit="1" customWidth="1"/>
    <col min="2571" max="2571" width="12" style="3" bestFit="1" customWidth="1"/>
    <col min="2572" max="2572" width="9" style="3" bestFit="1" customWidth="1"/>
    <col min="2573" max="2573" width="7.7109375" style="3" bestFit="1" customWidth="1"/>
    <col min="2574" max="2574" width="12.140625" style="3" bestFit="1" customWidth="1"/>
    <col min="2575" max="2816" width="9.140625" style="3"/>
    <col min="2817" max="2817" width="5.42578125" style="3" bestFit="1" customWidth="1"/>
    <col min="2818" max="2818" width="15.5703125" style="3" bestFit="1" customWidth="1"/>
    <col min="2819" max="2819" width="13.42578125" style="3" bestFit="1" customWidth="1"/>
    <col min="2820" max="2820" width="106.28515625" style="3" bestFit="1" customWidth="1"/>
    <col min="2821" max="2821" width="9" style="3" bestFit="1" customWidth="1"/>
    <col min="2822" max="2822" width="12.85546875" style="3" bestFit="1" customWidth="1"/>
    <col min="2823" max="2823" width="10" style="3" customWidth="1"/>
    <col min="2824" max="2824" width="8.140625" style="3" bestFit="1" customWidth="1"/>
    <col min="2825" max="2826" width="9.140625" style="3" bestFit="1" customWidth="1"/>
    <col min="2827" max="2827" width="12" style="3" bestFit="1" customWidth="1"/>
    <col min="2828" max="2828" width="9" style="3" bestFit="1" customWidth="1"/>
    <col min="2829" max="2829" width="7.7109375" style="3" bestFit="1" customWidth="1"/>
    <col min="2830" max="2830" width="12.140625" style="3" bestFit="1" customWidth="1"/>
    <col min="2831" max="3072" width="9.140625" style="3"/>
    <col min="3073" max="3073" width="5.42578125" style="3" bestFit="1" customWidth="1"/>
    <col min="3074" max="3074" width="15.5703125" style="3" bestFit="1" customWidth="1"/>
    <col min="3075" max="3075" width="13.42578125" style="3" bestFit="1" customWidth="1"/>
    <col min="3076" max="3076" width="106.28515625" style="3" bestFit="1" customWidth="1"/>
    <col min="3077" max="3077" width="9" style="3" bestFit="1" customWidth="1"/>
    <col min="3078" max="3078" width="12.85546875" style="3" bestFit="1" customWidth="1"/>
    <col min="3079" max="3079" width="10" style="3" customWidth="1"/>
    <col min="3080" max="3080" width="8.140625" style="3" bestFit="1" customWidth="1"/>
    <col min="3081" max="3082" width="9.140625" style="3" bestFit="1" customWidth="1"/>
    <col min="3083" max="3083" width="12" style="3" bestFit="1" customWidth="1"/>
    <col min="3084" max="3084" width="9" style="3" bestFit="1" customWidth="1"/>
    <col min="3085" max="3085" width="7.7109375" style="3" bestFit="1" customWidth="1"/>
    <col min="3086" max="3086" width="12.140625" style="3" bestFit="1" customWidth="1"/>
    <col min="3087" max="3328" width="9.140625" style="3"/>
    <col min="3329" max="3329" width="5.42578125" style="3" bestFit="1" customWidth="1"/>
    <col min="3330" max="3330" width="15.5703125" style="3" bestFit="1" customWidth="1"/>
    <col min="3331" max="3331" width="13.42578125" style="3" bestFit="1" customWidth="1"/>
    <col min="3332" max="3332" width="106.28515625" style="3" bestFit="1" customWidth="1"/>
    <col min="3333" max="3333" width="9" style="3" bestFit="1" customWidth="1"/>
    <col min="3334" max="3334" width="12.85546875" style="3" bestFit="1" customWidth="1"/>
    <col min="3335" max="3335" width="10" style="3" customWidth="1"/>
    <col min="3336" max="3336" width="8.140625" style="3" bestFit="1" customWidth="1"/>
    <col min="3337" max="3338" width="9.140625" style="3" bestFit="1" customWidth="1"/>
    <col min="3339" max="3339" width="12" style="3" bestFit="1" customWidth="1"/>
    <col min="3340" max="3340" width="9" style="3" bestFit="1" customWidth="1"/>
    <col min="3341" max="3341" width="7.7109375" style="3" bestFit="1" customWidth="1"/>
    <col min="3342" max="3342" width="12.140625" style="3" bestFit="1" customWidth="1"/>
    <col min="3343" max="3584" width="9.140625" style="3"/>
    <col min="3585" max="3585" width="5.42578125" style="3" bestFit="1" customWidth="1"/>
    <col min="3586" max="3586" width="15.5703125" style="3" bestFit="1" customWidth="1"/>
    <col min="3587" max="3587" width="13.42578125" style="3" bestFit="1" customWidth="1"/>
    <col min="3588" max="3588" width="106.28515625" style="3" bestFit="1" customWidth="1"/>
    <col min="3589" max="3589" width="9" style="3" bestFit="1" customWidth="1"/>
    <col min="3590" max="3590" width="12.85546875" style="3" bestFit="1" customWidth="1"/>
    <col min="3591" max="3591" width="10" style="3" customWidth="1"/>
    <col min="3592" max="3592" width="8.140625" style="3" bestFit="1" customWidth="1"/>
    <col min="3593" max="3594" width="9.140625" style="3" bestFit="1" customWidth="1"/>
    <col min="3595" max="3595" width="12" style="3" bestFit="1" customWidth="1"/>
    <col min="3596" max="3596" width="9" style="3" bestFit="1" customWidth="1"/>
    <col min="3597" max="3597" width="7.7109375" style="3" bestFit="1" customWidth="1"/>
    <col min="3598" max="3598" width="12.140625" style="3" bestFit="1" customWidth="1"/>
    <col min="3599" max="3840" width="9.140625" style="3"/>
    <col min="3841" max="3841" width="5.42578125" style="3" bestFit="1" customWidth="1"/>
    <col min="3842" max="3842" width="15.5703125" style="3" bestFit="1" customWidth="1"/>
    <col min="3843" max="3843" width="13.42578125" style="3" bestFit="1" customWidth="1"/>
    <col min="3844" max="3844" width="106.28515625" style="3" bestFit="1" customWidth="1"/>
    <col min="3845" max="3845" width="9" style="3" bestFit="1" customWidth="1"/>
    <col min="3846" max="3846" width="12.85546875" style="3" bestFit="1" customWidth="1"/>
    <col min="3847" max="3847" width="10" style="3" customWidth="1"/>
    <col min="3848" max="3848" width="8.140625" style="3" bestFit="1" customWidth="1"/>
    <col min="3849" max="3850" width="9.140625" style="3" bestFit="1" customWidth="1"/>
    <col min="3851" max="3851" width="12" style="3" bestFit="1" customWidth="1"/>
    <col min="3852" max="3852" width="9" style="3" bestFit="1" customWidth="1"/>
    <col min="3853" max="3853" width="7.7109375" style="3" bestFit="1" customWidth="1"/>
    <col min="3854" max="3854" width="12.140625" style="3" bestFit="1" customWidth="1"/>
    <col min="3855" max="4096" width="9.140625" style="3"/>
    <col min="4097" max="4097" width="5.42578125" style="3" bestFit="1" customWidth="1"/>
    <col min="4098" max="4098" width="15.5703125" style="3" bestFit="1" customWidth="1"/>
    <col min="4099" max="4099" width="13.42578125" style="3" bestFit="1" customWidth="1"/>
    <col min="4100" max="4100" width="106.28515625" style="3" bestFit="1" customWidth="1"/>
    <col min="4101" max="4101" width="9" style="3" bestFit="1" customWidth="1"/>
    <col min="4102" max="4102" width="12.85546875" style="3" bestFit="1" customWidth="1"/>
    <col min="4103" max="4103" width="10" style="3" customWidth="1"/>
    <col min="4104" max="4104" width="8.140625" style="3" bestFit="1" customWidth="1"/>
    <col min="4105" max="4106" width="9.140625" style="3" bestFit="1" customWidth="1"/>
    <col min="4107" max="4107" width="12" style="3" bestFit="1" customWidth="1"/>
    <col min="4108" max="4108" width="9" style="3" bestFit="1" customWidth="1"/>
    <col min="4109" max="4109" width="7.7109375" style="3" bestFit="1" customWidth="1"/>
    <col min="4110" max="4110" width="12.140625" style="3" bestFit="1" customWidth="1"/>
    <col min="4111" max="4352" width="9.140625" style="3"/>
    <col min="4353" max="4353" width="5.42578125" style="3" bestFit="1" customWidth="1"/>
    <col min="4354" max="4354" width="15.5703125" style="3" bestFit="1" customWidth="1"/>
    <col min="4355" max="4355" width="13.42578125" style="3" bestFit="1" customWidth="1"/>
    <col min="4356" max="4356" width="106.28515625" style="3" bestFit="1" customWidth="1"/>
    <col min="4357" max="4357" width="9" style="3" bestFit="1" customWidth="1"/>
    <col min="4358" max="4358" width="12.85546875" style="3" bestFit="1" customWidth="1"/>
    <col min="4359" max="4359" width="10" style="3" customWidth="1"/>
    <col min="4360" max="4360" width="8.140625" style="3" bestFit="1" customWidth="1"/>
    <col min="4361" max="4362" width="9.140625" style="3" bestFit="1" customWidth="1"/>
    <col min="4363" max="4363" width="12" style="3" bestFit="1" customWidth="1"/>
    <col min="4364" max="4364" width="9" style="3" bestFit="1" customWidth="1"/>
    <col min="4365" max="4365" width="7.7109375" style="3" bestFit="1" customWidth="1"/>
    <col min="4366" max="4366" width="12.140625" style="3" bestFit="1" customWidth="1"/>
    <col min="4367" max="4608" width="9.140625" style="3"/>
    <col min="4609" max="4609" width="5.42578125" style="3" bestFit="1" customWidth="1"/>
    <col min="4610" max="4610" width="15.5703125" style="3" bestFit="1" customWidth="1"/>
    <col min="4611" max="4611" width="13.42578125" style="3" bestFit="1" customWidth="1"/>
    <col min="4612" max="4612" width="106.28515625" style="3" bestFit="1" customWidth="1"/>
    <col min="4613" max="4613" width="9" style="3" bestFit="1" customWidth="1"/>
    <col min="4614" max="4614" width="12.85546875" style="3" bestFit="1" customWidth="1"/>
    <col min="4615" max="4615" width="10" style="3" customWidth="1"/>
    <col min="4616" max="4616" width="8.140625" style="3" bestFit="1" customWidth="1"/>
    <col min="4617" max="4618" width="9.140625" style="3" bestFit="1" customWidth="1"/>
    <col min="4619" max="4619" width="12" style="3" bestFit="1" customWidth="1"/>
    <col min="4620" max="4620" width="9" style="3" bestFit="1" customWidth="1"/>
    <col min="4621" max="4621" width="7.7109375" style="3" bestFit="1" customWidth="1"/>
    <col min="4622" max="4622" width="12.140625" style="3" bestFit="1" customWidth="1"/>
    <col min="4623" max="4864" width="9.140625" style="3"/>
    <col min="4865" max="4865" width="5.42578125" style="3" bestFit="1" customWidth="1"/>
    <col min="4866" max="4866" width="15.5703125" style="3" bestFit="1" customWidth="1"/>
    <col min="4867" max="4867" width="13.42578125" style="3" bestFit="1" customWidth="1"/>
    <col min="4868" max="4868" width="106.28515625" style="3" bestFit="1" customWidth="1"/>
    <col min="4869" max="4869" width="9" style="3" bestFit="1" customWidth="1"/>
    <col min="4870" max="4870" width="12.85546875" style="3" bestFit="1" customWidth="1"/>
    <col min="4871" max="4871" width="10" style="3" customWidth="1"/>
    <col min="4872" max="4872" width="8.140625" style="3" bestFit="1" customWidth="1"/>
    <col min="4873" max="4874" width="9.140625" style="3" bestFit="1" customWidth="1"/>
    <col min="4875" max="4875" width="12" style="3" bestFit="1" customWidth="1"/>
    <col min="4876" max="4876" width="9" style="3" bestFit="1" customWidth="1"/>
    <col min="4877" max="4877" width="7.7109375" style="3" bestFit="1" customWidth="1"/>
    <col min="4878" max="4878" width="12.140625" style="3" bestFit="1" customWidth="1"/>
    <col min="4879" max="5120" width="9.140625" style="3"/>
    <col min="5121" max="5121" width="5.42578125" style="3" bestFit="1" customWidth="1"/>
    <col min="5122" max="5122" width="15.5703125" style="3" bestFit="1" customWidth="1"/>
    <col min="5123" max="5123" width="13.42578125" style="3" bestFit="1" customWidth="1"/>
    <col min="5124" max="5124" width="106.28515625" style="3" bestFit="1" customWidth="1"/>
    <col min="5125" max="5125" width="9" style="3" bestFit="1" customWidth="1"/>
    <col min="5126" max="5126" width="12.85546875" style="3" bestFit="1" customWidth="1"/>
    <col min="5127" max="5127" width="10" style="3" customWidth="1"/>
    <col min="5128" max="5128" width="8.140625" style="3" bestFit="1" customWidth="1"/>
    <col min="5129" max="5130" width="9.140625" style="3" bestFit="1" customWidth="1"/>
    <col min="5131" max="5131" width="12" style="3" bestFit="1" customWidth="1"/>
    <col min="5132" max="5132" width="9" style="3" bestFit="1" customWidth="1"/>
    <col min="5133" max="5133" width="7.7109375" style="3" bestFit="1" customWidth="1"/>
    <col min="5134" max="5134" width="12.140625" style="3" bestFit="1" customWidth="1"/>
    <col min="5135" max="5376" width="9.140625" style="3"/>
    <col min="5377" max="5377" width="5.42578125" style="3" bestFit="1" customWidth="1"/>
    <col min="5378" max="5378" width="15.5703125" style="3" bestFit="1" customWidth="1"/>
    <col min="5379" max="5379" width="13.42578125" style="3" bestFit="1" customWidth="1"/>
    <col min="5380" max="5380" width="106.28515625" style="3" bestFit="1" customWidth="1"/>
    <col min="5381" max="5381" width="9" style="3" bestFit="1" customWidth="1"/>
    <col min="5382" max="5382" width="12.85546875" style="3" bestFit="1" customWidth="1"/>
    <col min="5383" max="5383" width="10" style="3" customWidth="1"/>
    <col min="5384" max="5384" width="8.140625" style="3" bestFit="1" customWidth="1"/>
    <col min="5385" max="5386" width="9.140625" style="3" bestFit="1" customWidth="1"/>
    <col min="5387" max="5387" width="12" style="3" bestFit="1" customWidth="1"/>
    <col min="5388" max="5388" width="9" style="3" bestFit="1" customWidth="1"/>
    <col min="5389" max="5389" width="7.7109375" style="3" bestFit="1" customWidth="1"/>
    <col min="5390" max="5390" width="12.140625" style="3" bestFit="1" customWidth="1"/>
    <col min="5391" max="5632" width="9.140625" style="3"/>
    <col min="5633" max="5633" width="5.42578125" style="3" bestFit="1" customWidth="1"/>
    <col min="5634" max="5634" width="15.5703125" style="3" bestFit="1" customWidth="1"/>
    <col min="5635" max="5635" width="13.42578125" style="3" bestFit="1" customWidth="1"/>
    <col min="5636" max="5636" width="106.28515625" style="3" bestFit="1" customWidth="1"/>
    <col min="5637" max="5637" width="9" style="3" bestFit="1" customWidth="1"/>
    <col min="5638" max="5638" width="12.85546875" style="3" bestFit="1" customWidth="1"/>
    <col min="5639" max="5639" width="10" style="3" customWidth="1"/>
    <col min="5640" max="5640" width="8.140625" style="3" bestFit="1" customWidth="1"/>
    <col min="5641" max="5642" width="9.140625" style="3" bestFit="1" customWidth="1"/>
    <col min="5643" max="5643" width="12" style="3" bestFit="1" customWidth="1"/>
    <col min="5644" max="5644" width="9" style="3" bestFit="1" customWidth="1"/>
    <col min="5645" max="5645" width="7.7109375" style="3" bestFit="1" customWidth="1"/>
    <col min="5646" max="5646" width="12.140625" style="3" bestFit="1" customWidth="1"/>
    <col min="5647" max="5888" width="9.140625" style="3"/>
    <col min="5889" max="5889" width="5.42578125" style="3" bestFit="1" customWidth="1"/>
    <col min="5890" max="5890" width="15.5703125" style="3" bestFit="1" customWidth="1"/>
    <col min="5891" max="5891" width="13.42578125" style="3" bestFit="1" customWidth="1"/>
    <col min="5892" max="5892" width="106.28515625" style="3" bestFit="1" customWidth="1"/>
    <col min="5893" max="5893" width="9" style="3" bestFit="1" customWidth="1"/>
    <col min="5894" max="5894" width="12.85546875" style="3" bestFit="1" customWidth="1"/>
    <col min="5895" max="5895" width="10" style="3" customWidth="1"/>
    <col min="5896" max="5896" width="8.140625" style="3" bestFit="1" customWidth="1"/>
    <col min="5897" max="5898" width="9.140625" style="3" bestFit="1" customWidth="1"/>
    <col min="5899" max="5899" width="12" style="3" bestFit="1" customWidth="1"/>
    <col min="5900" max="5900" width="9" style="3" bestFit="1" customWidth="1"/>
    <col min="5901" max="5901" width="7.7109375" style="3" bestFit="1" customWidth="1"/>
    <col min="5902" max="5902" width="12.140625" style="3" bestFit="1" customWidth="1"/>
    <col min="5903" max="6144" width="9.140625" style="3"/>
    <col min="6145" max="6145" width="5.42578125" style="3" bestFit="1" customWidth="1"/>
    <col min="6146" max="6146" width="15.5703125" style="3" bestFit="1" customWidth="1"/>
    <col min="6147" max="6147" width="13.42578125" style="3" bestFit="1" customWidth="1"/>
    <col min="6148" max="6148" width="106.28515625" style="3" bestFit="1" customWidth="1"/>
    <col min="6149" max="6149" width="9" style="3" bestFit="1" customWidth="1"/>
    <col min="6150" max="6150" width="12.85546875" style="3" bestFit="1" customWidth="1"/>
    <col min="6151" max="6151" width="10" style="3" customWidth="1"/>
    <col min="6152" max="6152" width="8.140625" style="3" bestFit="1" customWidth="1"/>
    <col min="6153" max="6154" width="9.140625" style="3" bestFit="1" customWidth="1"/>
    <col min="6155" max="6155" width="12" style="3" bestFit="1" customWidth="1"/>
    <col min="6156" max="6156" width="9" style="3" bestFit="1" customWidth="1"/>
    <col min="6157" max="6157" width="7.7109375" style="3" bestFit="1" customWidth="1"/>
    <col min="6158" max="6158" width="12.140625" style="3" bestFit="1" customWidth="1"/>
    <col min="6159" max="6400" width="9.140625" style="3"/>
    <col min="6401" max="6401" width="5.42578125" style="3" bestFit="1" customWidth="1"/>
    <col min="6402" max="6402" width="15.5703125" style="3" bestFit="1" customWidth="1"/>
    <col min="6403" max="6403" width="13.42578125" style="3" bestFit="1" customWidth="1"/>
    <col min="6404" max="6404" width="106.28515625" style="3" bestFit="1" customWidth="1"/>
    <col min="6405" max="6405" width="9" style="3" bestFit="1" customWidth="1"/>
    <col min="6406" max="6406" width="12.85546875" style="3" bestFit="1" customWidth="1"/>
    <col min="6407" max="6407" width="10" style="3" customWidth="1"/>
    <col min="6408" max="6408" width="8.140625" style="3" bestFit="1" customWidth="1"/>
    <col min="6409" max="6410" width="9.140625" style="3" bestFit="1" customWidth="1"/>
    <col min="6411" max="6411" width="12" style="3" bestFit="1" customWidth="1"/>
    <col min="6412" max="6412" width="9" style="3" bestFit="1" customWidth="1"/>
    <col min="6413" max="6413" width="7.7109375" style="3" bestFit="1" customWidth="1"/>
    <col min="6414" max="6414" width="12.140625" style="3" bestFit="1" customWidth="1"/>
    <col min="6415" max="6656" width="9.140625" style="3"/>
    <col min="6657" max="6657" width="5.42578125" style="3" bestFit="1" customWidth="1"/>
    <col min="6658" max="6658" width="15.5703125" style="3" bestFit="1" customWidth="1"/>
    <col min="6659" max="6659" width="13.42578125" style="3" bestFit="1" customWidth="1"/>
    <col min="6660" max="6660" width="106.28515625" style="3" bestFit="1" customWidth="1"/>
    <col min="6661" max="6661" width="9" style="3" bestFit="1" customWidth="1"/>
    <col min="6662" max="6662" width="12.85546875" style="3" bestFit="1" customWidth="1"/>
    <col min="6663" max="6663" width="10" style="3" customWidth="1"/>
    <col min="6664" max="6664" width="8.140625" style="3" bestFit="1" customWidth="1"/>
    <col min="6665" max="6666" width="9.140625" style="3" bestFit="1" customWidth="1"/>
    <col min="6667" max="6667" width="12" style="3" bestFit="1" customWidth="1"/>
    <col min="6668" max="6668" width="9" style="3" bestFit="1" customWidth="1"/>
    <col min="6669" max="6669" width="7.7109375" style="3" bestFit="1" customWidth="1"/>
    <col min="6670" max="6670" width="12.140625" style="3" bestFit="1" customWidth="1"/>
    <col min="6671" max="6912" width="9.140625" style="3"/>
    <col min="6913" max="6913" width="5.42578125" style="3" bestFit="1" customWidth="1"/>
    <col min="6914" max="6914" width="15.5703125" style="3" bestFit="1" customWidth="1"/>
    <col min="6915" max="6915" width="13.42578125" style="3" bestFit="1" customWidth="1"/>
    <col min="6916" max="6916" width="106.28515625" style="3" bestFit="1" customWidth="1"/>
    <col min="6917" max="6917" width="9" style="3" bestFit="1" customWidth="1"/>
    <col min="6918" max="6918" width="12.85546875" style="3" bestFit="1" customWidth="1"/>
    <col min="6919" max="6919" width="10" style="3" customWidth="1"/>
    <col min="6920" max="6920" width="8.140625" style="3" bestFit="1" customWidth="1"/>
    <col min="6921" max="6922" width="9.140625" style="3" bestFit="1" customWidth="1"/>
    <col min="6923" max="6923" width="12" style="3" bestFit="1" customWidth="1"/>
    <col min="6924" max="6924" width="9" style="3" bestFit="1" customWidth="1"/>
    <col min="6925" max="6925" width="7.7109375" style="3" bestFit="1" customWidth="1"/>
    <col min="6926" max="6926" width="12.140625" style="3" bestFit="1" customWidth="1"/>
    <col min="6927" max="7168" width="9.140625" style="3"/>
    <col min="7169" max="7169" width="5.42578125" style="3" bestFit="1" customWidth="1"/>
    <col min="7170" max="7170" width="15.5703125" style="3" bestFit="1" customWidth="1"/>
    <col min="7171" max="7171" width="13.42578125" style="3" bestFit="1" customWidth="1"/>
    <col min="7172" max="7172" width="106.28515625" style="3" bestFit="1" customWidth="1"/>
    <col min="7173" max="7173" width="9" style="3" bestFit="1" customWidth="1"/>
    <col min="7174" max="7174" width="12.85546875" style="3" bestFit="1" customWidth="1"/>
    <col min="7175" max="7175" width="10" style="3" customWidth="1"/>
    <col min="7176" max="7176" width="8.140625" style="3" bestFit="1" customWidth="1"/>
    <col min="7177" max="7178" width="9.140625" style="3" bestFit="1" customWidth="1"/>
    <col min="7179" max="7179" width="12" style="3" bestFit="1" customWidth="1"/>
    <col min="7180" max="7180" width="9" style="3" bestFit="1" customWidth="1"/>
    <col min="7181" max="7181" width="7.7109375" style="3" bestFit="1" customWidth="1"/>
    <col min="7182" max="7182" width="12.140625" style="3" bestFit="1" customWidth="1"/>
    <col min="7183" max="7424" width="9.140625" style="3"/>
    <col min="7425" max="7425" width="5.42578125" style="3" bestFit="1" customWidth="1"/>
    <col min="7426" max="7426" width="15.5703125" style="3" bestFit="1" customWidth="1"/>
    <col min="7427" max="7427" width="13.42578125" style="3" bestFit="1" customWidth="1"/>
    <col min="7428" max="7428" width="106.28515625" style="3" bestFit="1" customWidth="1"/>
    <col min="7429" max="7429" width="9" style="3" bestFit="1" customWidth="1"/>
    <col min="7430" max="7430" width="12.85546875" style="3" bestFit="1" customWidth="1"/>
    <col min="7431" max="7431" width="10" style="3" customWidth="1"/>
    <col min="7432" max="7432" width="8.140625" style="3" bestFit="1" customWidth="1"/>
    <col min="7433" max="7434" width="9.140625" style="3" bestFit="1" customWidth="1"/>
    <col min="7435" max="7435" width="12" style="3" bestFit="1" customWidth="1"/>
    <col min="7436" max="7436" width="9" style="3" bestFit="1" customWidth="1"/>
    <col min="7437" max="7437" width="7.7109375" style="3" bestFit="1" customWidth="1"/>
    <col min="7438" max="7438" width="12.140625" style="3" bestFit="1" customWidth="1"/>
    <col min="7439" max="7680" width="9.140625" style="3"/>
    <col min="7681" max="7681" width="5.42578125" style="3" bestFit="1" customWidth="1"/>
    <col min="7682" max="7682" width="15.5703125" style="3" bestFit="1" customWidth="1"/>
    <col min="7683" max="7683" width="13.42578125" style="3" bestFit="1" customWidth="1"/>
    <col min="7684" max="7684" width="106.28515625" style="3" bestFit="1" customWidth="1"/>
    <col min="7685" max="7685" width="9" style="3" bestFit="1" customWidth="1"/>
    <col min="7686" max="7686" width="12.85546875" style="3" bestFit="1" customWidth="1"/>
    <col min="7687" max="7687" width="10" style="3" customWidth="1"/>
    <col min="7688" max="7688" width="8.140625" style="3" bestFit="1" customWidth="1"/>
    <col min="7689" max="7690" width="9.140625" style="3" bestFit="1" customWidth="1"/>
    <col min="7691" max="7691" width="12" style="3" bestFit="1" customWidth="1"/>
    <col min="7692" max="7692" width="9" style="3" bestFit="1" customWidth="1"/>
    <col min="7693" max="7693" width="7.7109375" style="3" bestFit="1" customWidth="1"/>
    <col min="7694" max="7694" width="12.140625" style="3" bestFit="1" customWidth="1"/>
    <col min="7695" max="7936" width="9.140625" style="3"/>
    <col min="7937" max="7937" width="5.42578125" style="3" bestFit="1" customWidth="1"/>
    <col min="7938" max="7938" width="15.5703125" style="3" bestFit="1" customWidth="1"/>
    <col min="7939" max="7939" width="13.42578125" style="3" bestFit="1" customWidth="1"/>
    <col min="7940" max="7940" width="106.28515625" style="3" bestFit="1" customWidth="1"/>
    <col min="7941" max="7941" width="9" style="3" bestFit="1" customWidth="1"/>
    <col min="7942" max="7942" width="12.85546875" style="3" bestFit="1" customWidth="1"/>
    <col min="7943" max="7943" width="10" style="3" customWidth="1"/>
    <col min="7944" max="7944" width="8.140625" style="3" bestFit="1" customWidth="1"/>
    <col min="7945" max="7946" width="9.140625" style="3" bestFit="1" customWidth="1"/>
    <col min="7947" max="7947" width="12" style="3" bestFit="1" customWidth="1"/>
    <col min="7948" max="7948" width="9" style="3" bestFit="1" customWidth="1"/>
    <col min="7949" max="7949" width="7.7109375" style="3" bestFit="1" customWidth="1"/>
    <col min="7950" max="7950" width="12.140625" style="3" bestFit="1" customWidth="1"/>
    <col min="7951" max="8192" width="9.140625" style="3"/>
    <col min="8193" max="8193" width="5.42578125" style="3" bestFit="1" customWidth="1"/>
    <col min="8194" max="8194" width="15.5703125" style="3" bestFit="1" customWidth="1"/>
    <col min="8195" max="8195" width="13.42578125" style="3" bestFit="1" customWidth="1"/>
    <col min="8196" max="8196" width="106.28515625" style="3" bestFit="1" customWidth="1"/>
    <col min="8197" max="8197" width="9" style="3" bestFit="1" customWidth="1"/>
    <col min="8198" max="8198" width="12.85546875" style="3" bestFit="1" customWidth="1"/>
    <col min="8199" max="8199" width="10" style="3" customWidth="1"/>
    <col min="8200" max="8200" width="8.140625" style="3" bestFit="1" customWidth="1"/>
    <col min="8201" max="8202" width="9.140625" style="3" bestFit="1" customWidth="1"/>
    <col min="8203" max="8203" width="12" style="3" bestFit="1" customWidth="1"/>
    <col min="8204" max="8204" width="9" style="3" bestFit="1" customWidth="1"/>
    <col min="8205" max="8205" width="7.7109375" style="3" bestFit="1" customWidth="1"/>
    <col min="8206" max="8206" width="12.140625" style="3" bestFit="1" customWidth="1"/>
    <col min="8207" max="8448" width="9.140625" style="3"/>
    <col min="8449" max="8449" width="5.42578125" style="3" bestFit="1" customWidth="1"/>
    <col min="8450" max="8450" width="15.5703125" style="3" bestFit="1" customWidth="1"/>
    <col min="8451" max="8451" width="13.42578125" style="3" bestFit="1" customWidth="1"/>
    <col min="8452" max="8452" width="106.28515625" style="3" bestFit="1" customWidth="1"/>
    <col min="8453" max="8453" width="9" style="3" bestFit="1" customWidth="1"/>
    <col min="8454" max="8454" width="12.85546875" style="3" bestFit="1" customWidth="1"/>
    <col min="8455" max="8455" width="10" style="3" customWidth="1"/>
    <col min="8456" max="8456" width="8.140625" style="3" bestFit="1" customWidth="1"/>
    <col min="8457" max="8458" width="9.140625" style="3" bestFit="1" customWidth="1"/>
    <col min="8459" max="8459" width="12" style="3" bestFit="1" customWidth="1"/>
    <col min="8460" max="8460" width="9" style="3" bestFit="1" customWidth="1"/>
    <col min="8461" max="8461" width="7.7109375" style="3" bestFit="1" customWidth="1"/>
    <col min="8462" max="8462" width="12.140625" style="3" bestFit="1" customWidth="1"/>
    <col min="8463" max="8704" width="9.140625" style="3"/>
    <col min="8705" max="8705" width="5.42578125" style="3" bestFit="1" customWidth="1"/>
    <col min="8706" max="8706" width="15.5703125" style="3" bestFit="1" customWidth="1"/>
    <col min="8707" max="8707" width="13.42578125" style="3" bestFit="1" customWidth="1"/>
    <col min="8708" max="8708" width="106.28515625" style="3" bestFit="1" customWidth="1"/>
    <col min="8709" max="8709" width="9" style="3" bestFit="1" customWidth="1"/>
    <col min="8710" max="8710" width="12.85546875" style="3" bestFit="1" customWidth="1"/>
    <col min="8711" max="8711" width="10" style="3" customWidth="1"/>
    <col min="8712" max="8712" width="8.140625" style="3" bestFit="1" customWidth="1"/>
    <col min="8713" max="8714" width="9.140625" style="3" bestFit="1" customWidth="1"/>
    <col min="8715" max="8715" width="12" style="3" bestFit="1" customWidth="1"/>
    <col min="8716" max="8716" width="9" style="3" bestFit="1" customWidth="1"/>
    <col min="8717" max="8717" width="7.7109375" style="3" bestFit="1" customWidth="1"/>
    <col min="8718" max="8718" width="12.140625" style="3" bestFit="1" customWidth="1"/>
    <col min="8719" max="8960" width="9.140625" style="3"/>
    <col min="8961" max="8961" width="5.42578125" style="3" bestFit="1" customWidth="1"/>
    <col min="8962" max="8962" width="15.5703125" style="3" bestFit="1" customWidth="1"/>
    <col min="8963" max="8963" width="13.42578125" style="3" bestFit="1" customWidth="1"/>
    <col min="8964" max="8964" width="106.28515625" style="3" bestFit="1" customWidth="1"/>
    <col min="8965" max="8965" width="9" style="3" bestFit="1" customWidth="1"/>
    <col min="8966" max="8966" width="12.85546875" style="3" bestFit="1" customWidth="1"/>
    <col min="8967" max="8967" width="10" style="3" customWidth="1"/>
    <col min="8968" max="8968" width="8.140625" style="3" bestFit="1" customWidth="1"/>
    <col min="8969" max="8970" width="9.140625" style="3" bestFit="1" customWidth="1"/>
    <col min="8971" max="8971" width="12" style="3" bestFit="1" customWidth="1"/>
    <col min="8972" max="8972" width="9" style="3" bestFit="1" customWidth="1"/>
    <col min="8973" max="8973" width="7.7109375" style="3" bestFit="1" customWidth="1"/>
    <col min="8974" max="8974" width="12.140625" style="3" bestFit="1" customWidth="1"/>
    <col min="8975" max="9216" width="9.140625" style="3"/>
    <col min="9217" max="9217" width="5.42578125" style="3" bestFit="1" customWidth="1"/>
    <col min="9218" max="9218" width="15.5703125" style="3" bestFit="1" customWidth="1"/>
    <col min="9219" max="9219" width="13.42578125" style="3" bestFit="1" customWidth="1"/>
    <col min="9220" max="9220" width="106.28515625" style="3" bestFit="1" customWidth="1"/>
    <col min="9221" max="9221" width="9" style="3" bestFit="1" customWidth="1"/>
    <col min="9222" max="9222" width="12.85546875" style="3" bestFit="1" customWidth="1"/>
    <col min="9223" max="9223" width="10" style="3" customWidth="1"/>
    <col min="9224" max="9224" width="8.140625" style="3" bestFit="1" customWidth="1"/>
    <col min="9225" max="9226" width="9.140625" style="3" bestFit="1" customWidth="1"/>
    <col min="9227" max="9227" width="12" style="3" bestFit="1" customWidth="1"/>
    <col min="9228" max="9228" width="9" style="3" bestFit="1" customWidth="1"/>
    <col min="9229" max="9229" width="7.7109375" style="3" bestFit="1" customWidth="1"/>
    <col min="9230" max="9230" width="12.140625" style="3" bestFit="1" customWidth="1"/>
    <col min="9231" max="9472" width="9.140625" style="3"/>
    <col min="9473" max="9473" width="5.42578125" style="3" bestFit="1" customWidth="1"/>
    <col min="9474" max="9474" width="15.5703125" style="3" bestFit="1" customWidth="1"/>
    <col min="9475" max="9475" width="13.42578125" style="3" bestFit="1" customWidth="1"/>
    <col min="9476" max="9476" width="106.28515625" style="3" bestFit="1" customWidth="1"/>
    <col min="9477" max="9477" width="9" style="3" bestFit="1" customWidth="1"/>
    <col min="9478" max="9478" width="12.85546875" style="3" bestFit="1" customWidth="1"/>
    <col min="9479" max="9479" width="10" style="3" customWidth="1"/>
    <col min="9480" max="9480" width="8.140625" style="3" bestFit="1" customWidth="1"/>
    <col min="9481" max="9482" width="9.140625" style="3" bestFit="1" customWidth="1"/>
    <col min="9483" max="9483" width="12" style="3" bestFit="1" customWidth="1"/>
    <col min="9484" max="9484" width="9" style="3" bestFit="1" customWidth="1"/>
    <col min="9485" max="9485" width="7.7109375" style="3" bestFit="1" customWidth="1"/>
    <col min="9486" max="9486" width="12.140625" style="3" bestFit="1" customWidth="1"/>
    <col min="9487" max="9728" width="9.140625" style="3"/>
    <col min="9729" max="9729" width="5.42578125" style="3" bestFit="1" customWidth="1"/>
    <col min="9730" max="9730" width="15.5703125" style="3" bestFit="1" customWidth="1"/>
    <col min="9731" max="9731" width="13.42578125" style="3" bestFit="1" customWidth="1"/>
    <col min="9732" max="9732" width="106.28515625" style="3" bestFit="1" customWidth="1"/>
    <col min="9733" max="9733" width="9" style="3" bestFit="1" customWidth="1"/>
    <col min="9734" max="9734" width="12.85546875" style="3" bestFit="1" customWidth="1"/>
    <col min="9735" max="9735" width="10" style="3" customWidth="1"/>
    <col min="9736" max="9736" width="8.140625" style="3" bestFit="1" customWidth="1"/>
    <col min="9737" max="9738" width="9.140625" style="3" bestFit="1" customWidth="1"/>
    <col min="9739" max="9739" width="12" style="3" bestFit="1" customWidth="1"/>
    <col min="9740" max="9740" width="9" style="3" bestFit="1" customWidth="1"/>
    <col min="9741" max="9741" width="7.7109375" style="3" bestFit="1" customWidth="1"/>
    <col min="9742" max="9742" width="12.140625" style="3" bestFit="1" customWidth="1"/>
    <col min="9743" max="9984" width="9.140625" style="3"/>
    <col min="9985" max="9985" width="5.42578125" style="3" bestFit="1" customWidth="1"/>
    <col min="9986" max="9986" width="15.5703125" style="3" bestFit="1" customWidth="1"/>
    <col min="9987" max="9987" width="13.42578125" style="3" bestFit="1" customWidth="1"/>
    <col min="9988" max="9988" width="106.28515625" style="3" bestFit="1" customWidth="1"/>
    <col min="9989" max="9989" width="9" style="3" bestFit="1" customWidth="1"/>
    <col min="9990" max="9990" width="12.85546875" style="3" bestFit="1" customWidth="1"/>
    <col min="9991" max="9991" width="10" style="3" customWidth="1"/>
    <col min="9992" max="9992" width="8.140625" style="3" bestFit="1" customWidth="1"/>
    <col min="9993" max="9994" width="9.140625" style="3" bestFit="1" customWidth="1"/>
    <col min="9995" max="9995" width="12" style="3" bestFit="1" customWidth="1"/>
    <col min="9996" max="9996" width="9" style="3" bestFit="1" customWidth="1"/>
    <col min="9997" max="9997" width="7.7109375" style="3" bestFit="1" customWidth="1"/>
    <col min="9998" max="9998" width="12.140625" style="3" bestFit="1" customWidth="1"/>
    <col min="9999" max="10240" width="9.140625" style="3"/>
    <col min="10241" max="10241" width="5.42578125" style="3" bestFit="1" customWidth="1"/>
    <col min="10242" max="10242" width="15.5703125" style="3" bestFit="1" customWidth="1"/>
    <col min="10243" max="10243" width="13.42578125" style="3" bestFit="1" customWidth="1"/>
    <col min="10244" max="10244" width="106.28515625" style="3" bestFit="1" customWidth="1"/>
    <col min="10245" max="10245" width="9" style="3" bestFit="1" customWidth="1"/>
    <col min="10246" max="10246" width="12.85546875" style="3" bestFit="1" customWidth="1"/>
    <col min="10247" max="10247" width="10" style="3" customWidth="1"/>
    <col min="10248" max="10248" width="8.140625" style="3" bestFit="1" customWidth="1"/>
    <col min="10249" max="10250" width="9.140625" style="3" bestFit="1" customWidth="1"/>
    <col min="10251" max="10251" width="12" style="3" bestFit="1" customWidth="1"/>
    <col min="10252" max="10252" width="9" style="3" bestFit="1" customWidth="1"/>
    <col min="10253" max="10253" width="7.7109375" style="3" bestFit="1" customWidth="1"/>
    <col min="10254" max="10254" width="12.140625" style="3" bestFit="1" customWidth="1"/>
    <col min="10255" max="10496" width="9.140625" style="3"/>
    <col min="10497" max="10497" width="5.42578125" style="3" bestFit="1" customWidth="1"/>
    <col min="10498" max="10498" width="15.5703125" style="3" bestFit="1" customWidth="1"/>
    <col min="10499" max="10499" width="13.42578125" style="3" bestFit="1" customWidth="1"/>
    <col min="10500" max="10500" width="106.28515625" style="3" bestFit="1" customWidth="1"/>
    <col min="10501" max="10501" width="9" style="3" bestFit="1" customWidth="1"/>
    <col min="10502" max="10502" width="12.85546875" style="3" bestFit="1" customWidth="1"/>
    <col min="10503" max="10503" width="10" style="3" customWidth="1"/>
    <col min="10504" max="10504" width="8.140625" style="3" bestFit="1" customWidth="1"/>
    <col min="10505" max="10506" width="9.140625" style="3" bestFit="1" customWidth="1"/>
    <col min="10507" max="10507" width="12" style="3" bestFit="1" customWidth="1"/>
    <col min="10508" max="10508" width="9" style="3" bestFit="1" customWidth="1"/>
    <col min="10509" max="10509" width="7.7109375" style="3" bestFit="1" customWidth="1"/>
    <col min="10510" max="10510" width="12.140625" style="3" bestFit="1" customWidth="1"/>
    <col min="10511" max="10752" width="9.140625" style="3"/>
    <col min="10753" max="10753" width="5.42578125" style="3" bestFit="1" customWidth="1"/>
    <col min="10754" max="10754" width="15.5703125" style="3" bestFit="1" customWidth="1"/>
    <col min="10755" max="10755" width="13.42578125" style="3" bestFit="1" customWidth="1"/>
    <col min="10756" max="10756" width="106.28515625" style="3" bestFit="1" customWidth="1"/>
    <col min="10757" max="10757" width="9" style="3" bestFit="1" customWidth="1"/>
    <col min="10758" max="10758" width="12.85546875" style="3" bestFit="1" customWidth="1"/>
    <col min="10759" max="10759" width="10" style="3" customWidth="1"/>
    <col min="10760" max="10760" width="8.140625" style="3" bestFit="1" customWidth="1"/>
    <col min="10761" max="10762" width="9.140625" style="3" bestFit="1" customWidth="1"/>
    <col min="10763" max="10763" width="12" style="3" bestFit="1" customWidth="1"/>
    <col min="10764" max="10764" width="9" style="3" bestFit="1" customWidth="1"/>
    <col min="10765" max="10765" width="7.7109375" style="3" bestFit="1" customWidth="1"/>
    <col min="10766" max="10766" width="12.140625" style="3" bestFit="1" customWidth="1"/>
    <col min="10767" max="11008" width="9.140625" style="3"/>
    <col min="11009" max="11009" width="5.42578125" style="3" bestFit="1" customWidth="1"/>
    <col min="11010" max="11010" width="15.5703125" style="3" bestFit="1" customWidth="1"/>
    <col min="11011" max="11011" width="13.42578125" style="3" bestFit="1" customWidth="1"/>
    <col min="11012" max="11012" width="106.28515625" style="3" bestFit="1" customWidth="1"/>
    <col min="11013" max="11013" width="9" style="3" bestFit="1" customWidth="1"/>
    <col min="11014" max="11014" width="12.85546875" style="3" bestFit="1" customWidth="1"/>
    <col min="11015" max="11015" width="10" style="3" customWidth="1"/>
    <col min="11016" max="11016" width="8.140625" style="3" bestFit="1" customWidth="1"/>
    <col min="11017" max="11018" width="9.140625" style="3" bestFit="1" customWidth="1"/>
    <col min="11019" max="11019" width="12" style="3" bestFit="1" customWidth="1"/>
    <col min="11020" max="11020" width="9" style="3" bestFit="1" customWidth="1"/>
    <col min="11021" max="11021" width="7.7109375" style="3" bestFit="1" customWidth="1"/>
    <col min="11022" max="11022" width="12.140625" style="3" bestFit="1" customWidth="1"/>
    <col min="11023" max="11264" width="9.140625" style="3"/>
    <col min="11265" max="11265" width="5.42578125" style="3" bestFit="1" customWidth="1"/>
    <col min="11266" max="11266" width="15.5703125" style="3" bestFit="1" customWidth="1"/>
    <col min="11267" max="11267" width="13.42578125" style="3" bestFit="1" customWidth="1"/>
    <col min="11268" max="11268" width="106.28515625" style="3" bestFit="1" customWidth="1"/>
    <col min="11269" max="11269" width="9" style="3" bestFit="1" customWidth="1"/>
    <col min="11270" max="11270" width="12.85546875" style="3" bestFit="1" customWidth="1"/>
    <col min="11271" max="11271" width="10" style="3" customWidth="1"/>
    <col min="11272" max="11272" width="8.140625" style="3" bestFit="1" customWidth="1"/>
    <col min="11273" max="11274" width="9.140625" style="3" bestFit="1" customWidth="1"/>
    <col min="11275" max="11275" width="12" style="3" bestFit="1" customWidth="1"/>
    <col min="11276" max="11276" width="9" style="3" bestFit="1" customWidth="1"/>
    <col min="11277" max="11277" width="7.7109375" style="3" bestFit="1" customWidth="1"/>
    <col min="11278" max="11278" width="12.140625" style="3" bestFit="1" customWidth="1"/>
    <col min="11279" max="11520" width="9.140625" style="3"/>
    <col min="11521" max="11521" width="5.42578125" style="3" bestFit="1" customWidth="1"/>
    <col min="11522" max="11522" width="15.5703125" style="3" bestFit="1" customWidth="1"/>
    <col min="11523" max="11523" width="13.42578125" style="3" bestFit="1" customWidth="1"/>
    <col min="11524" max="11524" width="106.28515625" style="3" bestFit="1" customWidth="1"/>
    <col min="11525" max="11525" width="9" style="3" bestFit="1" customWidth="1"/>
    <col min="11526" max="11526" width="12.85546875" style="3" bestFit="1" customWidth="1"/>
    <col min="11527" max="11527" width="10" style="3" customWidth="1"/>
    <col min="11528" max="11528" width="8.140625" style="3" bestFit="1" customWidth="1"/>
    <col min="11529" max="11530" width="9.140625" style="3" bestFit="1" customWidth="1"/>
    <col min="11531" max="11531" width="12" style="3" bestFit="1" customWidth="1"/>
    <col min="11532" max="11532" width="9" style="3" bestFit="1" customWidth="1"/>
    <col min="11533" max="11533" width="7.7109375" style="3" bestFit="1" customWidth="1"/>
    <col min="11534" max="11534" width="12.140625" style="3" bestFit="1" customWidth="1"/>
    <col min="11535" max="11776" width="9.140625" style="3"/>
    <col min="11777" max="11777" width="5.42578125" style="3" bestFit="1" customWidth="1"/>
    <col min="11778" max="11778" width="15.5703125" style="3" bestFit="1" customWidth="1"/>
    <col min="11779" max="11779" width="13.42578125" style="3" bestFit="1" customWidth="1"/>
    <col min="11780" max="11780" width="106.28515625" style="3" bestFit="1" customWidth="1"/>
    <col min="11781" max="11781" width="9" style="3" bestFit="1" customWidth="1"/>
    <col min="11782" max="11782" width="12.85546875" style="3" bestFit="1" customWidth="1"/>
    <col min="11783" max="11783" width="10" style="3" customWidth="1"/>
    <col min="11784" max="11784" width="8.140625" style="3" bestFit="1" customWidth="1"/>
    <col min="11785" max="11786" width="9.140625" style="3" bestFit="1" customWidth="1"/>
    <col min="11787" max="11787" width="12" style="3" bestFit="1" customWidth="1"/>
    <col min="11788" max="11788" width="9" style="3" bestFit="1" customWidth="1"/>
    <col min="11789" max="11789" width="7.7109375" style="3" bestFit="1" customWidth="1"/>
    <col min="11790" max="11790" width="12.140625" style="3" bestFit="1" customWidth="1"/>
    <col min="11791" max="12032" width="9.140625" style="3"/>
    <col min="12033" max="12033" width="5.42578125" style="3" bestFit="1" customWidth="1"/>
    <col min="12034" max="12034" width="15.5703125" style="3" bestFit="1" customWidth="1"/>
    <col min="12035" max="12035" width="13.42578125" style="3" bestFit="1" customWidth="1"/>
    <col min="12036" max="12036" width="106.28515625" style="3" bestFit="1" customWidth="1"/>
    <col min="12037" max="12037" width="9" style="3" bestFit="1" customWidth="1"/>
    <col min="12038" max="12038" width="12.85546875" style="3" bestFit="1" customWidth="1"/>
    <col min="12039" max="12039" width="10" style="3" customWidth="1"/>
    <col min="12040" max="12040" width="8.140625" style="3" bestFit="1" customWidth="1"/>
    <col min="12041" max="12042" width="9.140625" style="3" bestFit="1" customWidth="1"/>
    <col min="12043" max="12043" width="12" style="3" bestFit="1" customWidth="1"/>
    <col min="12044" max="12044" width="9" style="3" bestFit="1" customWidth="1"/>
    <col min="12045" max="12045" width="7.7109375" style="3" bestFit="1" customWidth="1"/>
    <col min="12046" max="12046" width="12.140625" style="3" bestFit="1" customWidth="1"/>
    <col min="12047" max="12288" width="9.140625" style="3"/>
    <col min="12289" max="12289" width="5.42578125" style="3" bestFit="1" customWidth="1"/>
    <col min="12290" max="12290" width="15.5703125" style="3" bestFit="1" customWidth="1"/>
    <col min="12291" max="12291" width="13.42578125" style="3" bestFit="1" customWidth="1"/>
    <col min="12292" max="12292" width="106.28515625" style="3" bestFit="1" customWidth="1"/>
    <col min="12293" max="12293" width="9" style="3" bestFit="1" customWidth="1"/>
    <col min="12294" max="12294" width="12.85546875" style="3" bestFit="1" customWidth="1"/>
    <col min="12295" max="12295" width="10" style="3" customWidth="1"/>
    <col min="12296" max="12296" width="8.140625" style="3" bestFit="1" customWidth="1"/>
    <col min="12297" max="12298" width="9.140625" style="3" bestFit="1" customWidth="1"/>
    <col min="12299" max="12299" width="12" style="3" bestFit="1" customWidth="1"/>
    <col min="12300" max="12300" width="9" style="3" bestFit="1" customWidth="1"/>
    <col min="12301" max="12301" width="7.7109375" style="3" bestFit="1" customWidth="1"/>
    <col min="12302" max="12302" width="12.140625" style="3" bestFit="1" customWidth="1"/>
    <col min="12303" max="12544" width="9.140625" style="3"/>
    <col min="12545" max="12545" width="5.42578125" style="3" bestFit="1" customWidth="1"/>
    <col min="12546" max="12546" width="15.5703125" style="3" bestFit="1" customWidth="1"/>
    <col min="12547" max="12547" width="13.42578125" style="3" bestFit="1" customWidth="1"/>
    <col min="12548" max="12548" width="106.28515625" style="3" bestFit="1" customWidth="1"/>
    <col min="12549" max="12549" width="9" style="3" bestFit="1" customWidth="1"/>
    <col min="12550" max="12550" width="12.85546875" style="3" bestFit="1" customWidth="1"/>
    <col min="12551" max="12551" width="10" style="3" customWidth="1"/>
    <col min="12552" max="12552" width="8.140625" style="3" bestFit="1" customWidth="1"/>
    <col min="12553" max="12554" width="9.140625" style="3" bestFit="1" customWidth="1"/>
    <col min="12555" max="12555" width="12" style="3" bestFit="1" customWidth="1"/>
    <col min="12556" max="12556" width="9" style="3" bestFit="1" customWidth="1"/>
    <col min="12557" max="12557" width="7.7109375" style="3" bestFit="1" customWidth="1"/>
    <col min="12558" max="12558" width="12.140625" style="3" bestFit="1" customWidth="1"/>
    <col min="12559" max="12800" width="9.140625" style="3"/>
    <col min="12801" max="12801" width="5.42578125" style="3" bestFit="1" customWidth="1"/>
    <col min="12802" max="12802" width="15.5703125" style="3" bestFit="1" customWidth="1"/>
    <col min="12803" max="12803" width="13.42578125" style="3" bestFit="1" customWidth="1"/>
    <col min="12804" max="12804" width="106.28515625" style="3" bestFit="1" customWidth="1"/>
    <col min="12805" max="12805" width="9" style="3" bestFit="1" customWidth="1"/>
    <col min="12806" max="12806" width="12.85546875" style="3" bestFit="1" customWidth="1"/>
    <col min="12807" max="12807" width="10" style="3" customWidth="1"/>
    <col min="12808" max="12808" width="8.140625" style="3" bestFit="1" customWidth="1"/>
    <col min="12809" max="12810" width="9.140625" style="3" bestFit="1" customWidth="1"/>
    <col min="12811" max="12811" width="12" style="3" bestFit="1" customWidth="1"/>
    <col min="12812" max="12812" width="9" style="3" bestFit="1" customWidth="1"/>
    <col min="12813" max="12813" width="7.7109375" style="3" bestFit="1" customWidth="1"/>
    <col min="12814" max="12814" width="12.140625" style="3" bestFit="1" customWidth="1"/>
    <col min="12815" max="13056" width="9.140625" style="3"/>
    <col min="13057" max="13057" width="5.42578125" style="3" bestFit="1" customWidth="1"/>
    <col min="13058" max="13058" width="15.5703125" style="3" bestFit="1" customWidth="1"/>
    <col min="13059" max="13059" width="13.42578125" style="3" bestFit="1" customWidth="1"/>
    <col min="13060" max="13060" width="106.28515625" style="3" bestFit="1" customWidth="1"/>
    <col min="13061" max="13061" width="9" style="3" bestFit="1" customWidth="1"/>
    <col min="13062" max="13062" width="12.85546875" style="3" bestFit="1" customWidth="1"/>
    <col min="13063" max="13063" width="10" style="3" customWidth="1"/>
    <col min="13064" max="13064" width="8.140625" style="3" bestFit="1" customWidth="1"/>
    <col min="13065" max="13066" width="9.140625" style="3" bestFit="1" customWidth="1"/>
    <col min="13067" max="13067" width="12" style="3" bestFit="1" customWidth="1"/>
    <col min="13068" max="13068" width="9" style="3" bestFit="1" customWidth="1"/>
    <col min="13069" max="13069" width="7.7109375" style="3" bestFit="1" customWidth="1"/>
    <col min="13070" max="13070" width="12.140625" style="3" bestFit="1" customWidth="1"/>
    <col min="13071" max="13312" width="9.140625" style="3"/>
    <col min="13313" max="13313" width="5.42578125" style="3" bestFit="1" customWidth="1"/>
    <col min="13314" max="13314" width="15.5703125" style="3" bestFit="1" customWidth="1"/>
    <col min="13315" max="13315" width="13.42578125" style="3" bestFit="1" customWidth="1"/>
    <col min="13316" max="13316" width="106.28515625" style="3" bestFit="1" customWidth="1"/>
    <col min="13317" max="13317" width="9" style="3" bestFit="1" customWidth="1"/>
    <col min="13318" max="13318" width="12.85546875" style="3" bestFit="1" customWidth="1"/>
    <col min="13319" max="13319" width="10" style="3" customWidth="1"/>
    <col min="13320" max="13320" width="8.140625" style="3" bestFit="1" customWidth="1"/>
    <col min="13321" max="13322" width="9.140625" style="3" bestFit="1" customWidth="1"/>
    <col min="13323" max="13323" width="12" style="3" bestFit="1" customWidth="1"/>
    <col min="13324" max="13324" width="9" style="3" bestFit="1" customWidth="1"/>
    <col min="13325" max="13325" width="7.7109375" style="3" bestFit="1" customWidth="1"/>
    <col min="13326" max="13326" width="12.140625" style="3" bestFit="1" customWidth="1"/>
    <col min="13327" max="13568" width="9.140625" style="3"/>
    <col min="13569" max="13569" width="5.42578125" style="3" bestFit="1" customWidth="1"/>
    <col min="13570" max="13570" width="15.5703125" style="3" bestFit="1" customWidth="1"/>
    <col min="13571" max="13571" width="13.42578125" style="3" bestFit="1" customWidth="1"/>
    <col min="13572" max="13572" width="106.28515625" style="3" bestFit="1" customWidth="1"/>
    <col min="13573" max="13573" width="9" style="3" bestFit="1" customWidth="1"/>
    <col min="13574" max="13574" width="12.85546875" style="3" bestFit="1" customWidth="1"/>
    <col min="13575" max="13575" width="10" style="3" customWidth="1"/>
    <col min="13576" max="13576" width="8.140625" style="3" bestFit="1" customWidth="1"/>
    <col min="13577" max="13578" width="9.140625" style="3" bestFit="1" customWidth="1"/>
    <col min="13579" max="13579" width="12" style="3" bestFit="1" customWidth="1"/>
    <col min="13580" max="13580" width="9" style="3" bestFit="1" customWidth="1"/>
    <col min="13581" max="13581" width="7.7109375" style="3" bestFit="1" customWidth="1"/>
    <col min="13582" max="13582" width="12.140625" style="3" bestFit="1" customWidth="1"/>
    <col min="13583" max="13824" width="9.140625" style="3"/>
    <col min="13825" max="13825" width="5.42578125" style="3" bestFit="1" customWidth="1"/>
    <col min="13826" max="13826" width="15.5703125" style="3" bestFit="1" customWidth="1"/>
    <col min="13827" max="13827" width="13.42578125" style="3" bestFit="1" customWidth="1"/>
    <col min="13828" max="13828" width="106.28515625" style="3" bestFit="1" customWidth="1"/>
    <col min="13829" max="13829" width="9" style="3" bestFit="1" customWidth="1"/>
    <col min="13830" max="13830" width="12.85546875" style="3" bestFit="1" customWidth="1"/>
    <col min="13831" max="13831" width="10" style="3" customWidth="1"/>
    <col min="13832" max="13832" width="8.140625" style="3" bestFit="1" customWidth="1"/>
    <col min="13833" max="13834" width="9.140625" style="3" bestFit="1" customWidth="1"/>
    <col min="13835" max="13835" width="12" style="3" bestFit="1" customWidth="1"/>
    <col min="13836" max="13836" width="9" style="3" bestFit="1" customWidth="1"/>
    <col min="13837" max="13837" width="7.7109375" style="3" bestFit="1" customWidth="1"/>
    <col min="13838" max="13838" width="12.140625" style="3" bestFit="1" customWidth="1"/>
    <col min="13839" max="14080" width="9.140625" style="3"/>
    <col min="14081" max="14081" width="5.42578125" style="3" bestFit="1" customWidth="1"/>
    <col min="14082" max="14082" width="15.5703125" style="3" bestFit="1" customWidth="1"/>
    <col min="14083" max="14083" width="13.42578125" style="3" bestFit="1" customWidth="1"/>
    <col min="14084" max="14084" width="106.28515625" style="3" bestFit="1" customWidth="1"/>
    <col min="14085" max="14085" width="9" style="3" bestFit="1" customWidth="1"/>
    <col min="14086" max="14086" width="12.85546875" style="3" bestFit="1" customWidth="1"/>
    <col min="14087" max="14087" width="10" style="3" customWidth="1"/>
    <col min="14088" max="14088" width="8.140625" style="3" bestFit="1" customWidth="1"/>
    <col min="14089" max="14090" width="9.140625" style="3" bestFit="1" customWidth="1"/>
    <col min="14091" max="14091" width="12" style="3" bestFit="1" customWidth="1"/>
    <col min="14092" max="14092" width="9" style="3" bestFit="1" customWidth="1"/>
    <col min="14093" max="14093" width="7.7109375" style="3" bestFit="1" customWidth="1"/>
    <col min="14094" max="14094" width="12.140625" style="3" bestFit="1" customWidth="1"/>
    <col min="14095" max="14336" width="9.140625" style="3"/>
    <col min="14337" max="14337" width="5.42578125" style="3" bestFit="1" customWidth="1"/>
    <col min="14338" max="14338" width="15.5703125" style="3" bestFit="1" customWidth="1"/>
    <col min="14339" max="14339" width="13.42578125" style="3" bestFit="1" customWidth="1"/>
    <col min="14340" max="14340" width="106.28515625" style="3" bestFit="1" customWidth="1"/>
    <col min="14341" max="14341" width="9" style="3" bestFit="1" customWidth="1"/>
    <col min="14342" max="14342" width="12.85546875" style="3" bestFit="1" customWidth="1"/>
    <col min="14343" max="14343" width="10" style="3" customWidth="1"/>
    <col min="14344" max="14344" width="8.140625" style="3" bestFit="1" customWidth="1"/>
    <col min="14345" max="14346" width="9.140625" style="3" bestFit="1" customWidth="1"/>
    <col min="14347" max="14347" width="12" style="3" bestFit="1" customWidth="1"/>
    <col min="14348" max="14348" width="9" style="3" bestFit="1" customWidth="1"/>
    <col min="14349" max="14349" width="7.7109375" style="3" bestFit="1" customWidth="1"/>
    <col min="14350" max="14350" width="12.140625" style="3" bestFit="1" customWidth="1"/>
    <col min="14351" max="14592" width="9.140625" style="3"/>
    <col min="14593" max="14593" width="5.42578125" style="3" bestFit="1" customWidth="1"/>
    <col min="14594" max="14594" width="15.5703125" style="3" bestFit="1" customWidth="1"/>
    <col min="14595" max="14595" width="13.42578125" style="3" bestFit="1" customWidth="1"/>
    <col min="14596" max="14596" width="106.28515625" style="3" bestFit="1" customWidth="1"/>
    <col min="14597" max="14597" width="9" style="3" bestFit="1" customWidth="1"/>
    <col min="14598" max="14598" width="12.85546875" style="3" bestFit="1" customWidth="1"/>
    <col min="14599" max="14599" width="10" style="3" customWidth="1"/>
    <col min="14600" max="14600" width="8.140625" style="3" bestFit="1" customWidth="1"/>
    <col min="14601" max="14602" width="9.140625" style="3" bestFit="1" customWidth="1"/>
    <col min="14603" max="14603" width="12" style="3" bestFit="1" customWidth="1"/>
    <col min="14604" max="14604" width="9" style="3" bestFit="1" customWidth="1"/>
    <col min="14605" max="14605" width="7.7109375" style="3" bestFit="1" customWidth="1"/>
    <col min="14606" max="14606" width="12.140625" style="3" bestFit="1" customWidth="1"/>
    <col min="14607" max="14848" width="9.140625" style="3"/>
    <col min="14849" max="14849" width="5.42578125" style="3" bestFit="1" customWidth="1"/>
    <col min="14850" max="14850" width="15.5703125" style="3" bestFit="1" customWidth="1"/>
    <col min="14851" max="14851" width="13.42578125" style="3" bestFit="1" customWidth="1"/>
    <col min="14852" max="14852" width="106.28515625" style="3" bestFit="1" customWidth="1"/>
    <col min="14853" max="14853" width="9" style="3" bestFit="1" customWidth="1"/>
    <col min="14854" max="14854" width="12.85546875" style="3" bestFit="1" customWidth="1"/>
    <col min="14855" max="14855" width="10" style="3" customWidth="1"/>
    <col min="14856" max="14856" width="8.140625" style="3" bestFit="1" customWidth="1"/>
    <col min="14857" max="14858" width="9.140625" style="3" bestFit="1" customWidth="1"/>
    <col min="14859" max="14859" width="12" style="3" bestFit="1" customWidth="1"/>
    <col min="14860" max="14860" width="9" style="3" bestFit="1" customWidth="1"/>
    <col min="14861" max="14861" width="7.7109375" style="3" bestFit="1" customWidth="1"/>
    <col min="14862" max="14862" width="12.140625" style="3" bestFit="1" customWidth="1"/>
    <col min="14863" max="15104" width="9.140625" style="3"/>
    <col min="15105" max="15105" width="5.42578125" style="3" bestFit="1" customWidth="1"/>
    <col min="15106" max="15106" width="15.5703125" style="3" bestFit="1" customWidth="1"/>
    <col min="15107" max="15107" width="13.42578125" style="3" bestFit="1" customWidth="1"/>
    <col min="15108" max="15108" width="106.28515625" style="3" bestFit="1" customWidth="1"/>
    <col min="15109" max="15109" width="9" style="3" bestFit="1" customWidth="1"/>
    <col min="15110" max="15110" width="12.85546875" style="3" bestFit="1" customWidth="1"/>
    <col min="15111" max="15111" width="10" style="3" customWidth="1"/>
    <col min="15112" max="15112" width="8.140625" style="3" bestFit="1" customWidth="1"/>
    <col min="15113" max="15114" width="9.140625" style="3" bestFit="1" customWidth="1"/>
    <col min="15115" max="15115" width="12" style="3" bestFit="1" customWidth="1"/>
    <col min="15116" max="15116" width="9" style="3" bestFit="1" customWidth="1"/>
    <col min="15117" max="15117" width="7.7109375" style="3" bestFit="1" customWidth="1"/>
    <col min="15118" max="15118" width="12.140625" style="3" bestFit="1" customWidth="1"/>
    <col min="15119" max="15360" width="9.140625" style="3"/>
    <col min="15361" max="15361" width="5.42578125" style="3" bestFit="1" customWidth="1"/>
    <col min="15362" max="15362" width="15.5703125" style="3" bestFit="1" customWidth="1"/>
    <col min="15363" max="15363" width="13.42578125" style="3" bestFit="1" customWidth="1"/>
    <col min="15364" max="15364" width="106.28515625" style="3" bestFit="1" customWidth="1"/>
    <col min="15365" max="15365" width="9" style="3" bestFit="1" customWidth="1"/>
    <col min="15366" max="15366" width="12.85546875" style="3" bestFit="1" customWidth="1"/>
    <col min="15367" max="15367" width="10" style="3" customWidth="1"/>
    <col min="15368" max="15368" width="8.140625" style="3" bestFit="1" customWidth="1"/>
    <col min="15369" max="15370" width="9.140625" style="3" bestFit="1" customWidth="1"/>
    <col min="15371" max="15371" width="12" style="3" bestFit="1" customWidth="1"/>
    <col min="15372" max="15372" width="9" style="3" bestFit="1" customWidth="1"/>
    <col min="15373" max="15373" width="7.7109375" style="3" bestFit="1" customWidth="1"/>
    <col min="15374" max="15374" width="12.140625" style="3" bestFit="1" customWidth="1"/>
    <col min="15375" max="15616" width="9.140625" style="3"/>
    <col min="15617" max="15617" width="5.42578125" style="3" bestFit="1" customWidth="1"/>
    <col min="15618" max="15618" width="15.5703125" style="3" bestFit="1" customWidth="1"/>
    <col min="15619" max="15619" width="13.42578125" style="3" bestFit="1" customWidth="1"/>
    <col min="15620" max="15620" width="106.28515625" style="3" bestFit="1" customWidth="1"/>
    <col min="15621" max="15621" width="9" style="3" bestFit="1" customWidth="1"/>
    <col min="15622" max="15622" width="12.85546875" style="3" bestFit="1" customWidth="1"/>
    <col min="15623" max="15623" width="10" style="3" customWidth="1"/>
    <col min="15624" max="15624" width="8.140625" style="3" bestFit="1" customWidth="1"/>
    <col min="15625" max="15626" width="9.140625" style="3" bestFit="1" customWidth="1"/>
    <col min="15627" max="15627" width="12" style="3" bestFit="1" customWidth="1"/>
    <col min="15628" max="15628" width="9" style="3" bestFit="1" customWidth="1"/>
    <col min="15629" max="15629" width="7.7109375" style="3" bestFit="1" customWidth="1"/>
    <col min="15630" max="15630" width="12.140625" style="3" bestFit="1" customWidth="1"/>
    <col min="15631" max="15872" width="9.140625" style="3"/>
    <col min="15873" max="15873" width="5.42578125" style="3" bestFit="1" customWidth="1"/>
    <col min="15874" max="15874" width="15.5703125" style="3" bestFit="1" customWidth="1"/>
    <col min="15875" max="15875" width="13.42578125" style="3" bestFit="1" customWidth="1"/>
    <col min="15876" max="15876" width="106.28515625" style="3" bestFit="1" customWidth="1"/>
    <col min="15877" max="15877" width="9" style="3" bestFit="1" customWidth="1"/>
    <col min="15878" max="15878" width="12.85546875" style="3" bestFit="1" customWidth="1"/>
    <col min="15879" max="15879" width="10" style="3" customWidth="1"/>
    <col min="15880" max="15880" width="8.140625" style="3" bestFit="1" customWidth="1"/>
    <col min="15881" max="15882" width="9.140625" style="3" bestFit="1" customWidth="1"/>
    <col min="15883" max="15883" width="12" style="3" bestFit="1" customWidth="1"/>
    <col min="15884" max="15884" width="9" style="3" bestFit="1" customWidth="1"/>
    <col min="15885" max="15885" width="7.7109375" style="3" bestFit="1" customWidth="1"/>
    <col min="15886" max="15886" width="12.140625" style="3" bestFit="1" customWidth="1"/>
    <col min="15887" max="16128" width="9.140625" style="3"/>
    <col min="16129" max="16129" width="5.42578125" style="3" bestFit="1" customWidth="1"/>
    <col min="16130" max="16130" width="15.5703125" style="3" bestFit="1" customWidth="1"/>
    <col min="16131" max="16131" width="13.42578125" style="3" bestFit="1" customWidth="1"/>
    <col min="16132" max="16132" width="106.28515625" style="3" bestFit="1" customWidth="1"/>
    <col min="16133" max="16133" width="9" style="3" bestFit="1" customWidth="1"/>
    <col min="16134" max="16134" width="12.85546875" style="3" bestFit="1" customWidth="1"/>
    <col min="16135" max="16135" width="10" style="3" customWidth="1"/>
    <col min="16136" max="16136" width="8.140625" style="3" bestFit="1" customWidth="1"/>
    <col min="16137" max="16138" width="9.140625" style="3" bestFit="1" customWidth="1"/>
    <col min="16139" max="16139" width="12" style="3" bestFit="1" customWidth="1"/>
    <col min="16140" max="16140" width="9" style="3" bestFit="1" customWidth="1"/>
    <col min="16141" max="16141" width="7.7109375" style="3" bestFit="1" customWidth="1"/>
    <col min="16142" max="16142" width="12.140625" style="3" bestFit="1" customWidth="1"/>
    <col min="16143" max="16384" width="9.140625" style="3"/>
  </cols>
  <sheetData>
    <row r="1" spans="1:14" x14ac:dyDescent="0.25">
      <c r="A1" s="295" t="s">
        <v>463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x14ac:dyDescent="0.25">
      <c r="A2" s="19"/>
      <c r="N2" s="10"/>
    </row>
    <row r="3" spans="1:14" ht="30" x14ac:dyDescent="0.2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1" t="s">
        <v>512</v>
      </c>
      <c r="H3" s="15" t="s">
        <v>274</v>
      </c>
      <c r="I3" s="11" t="s">
        <v>275</v>
      </c>
      <c r="J3" s="79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36" customHeight="1" x14ac:dyDescent="0.25">
      <c r="A4" s="3">
        <v>1</v>
      </c>
      <c r="B4" s="3" t="s">
        <v>464</v>
      </c>
      <c r="C4" s="4" t="s">
        <v>517</v>
      </c>
      <c r="D4" s="76" t="s">
        <v>389</v>
      </c>
      <c r="E4" s="76" t="s">
        <v>465</v>
      </c>
      <c r="F4" s="5">
        <v>7780</v>
      </c>
      <c r="G4" s="18">
        <v>2133.14</v>
      </c>
      <c r="H4" s="9">
        <v>1684.73</v>
      </c>
      <c r="I4" s="18">
        <f>MIN(G4+H4,F4)</f>
        <v>3817.87</v>
      </c>
      <c r="J4" s="78">
        <v>200</v>
      </c>
      <c r="K4" s="4" t="s">
        <v>501</v>
      </c>
      <c r="L4" s="4" t="s">
        <v>504</v>
      </c>
      <c r="M4" s="7"/>
      <c r="N4" s="8">
        <v>39955</v>
      </c>
    </row>
    <row r="5" spans="1:14" ht="36" customHeight="1" x14ac:dyDescent="0.25">
      <c r="A5" s="3">
        <v>2</v>
      </c>
      <c r="B5" s="3" t="s">
        <v>467</v>
      </c>
      <c r="C5" s="4" t="s">
        <v>517</v>
      </c>
      <c r="D5" s="76" t="s">
        <v>468</v>
      </c>
      <c r="E5" s="76" t="s">
        <v>465</v>
      </c>
      <c r="F5" s="5">
        <v>550</v>
      </c>
      <c r="G5" s="18">
        <v>154.46</v>
      </c>
      <c r="H5" s="9">
        <v>119.12</v>
      </c>
      <c r="I5" s="18">
        <f>MIN(G5+H5,F5)</f>
        <v>273.58000000000004</v>
      </c>
      <c r="J5" s="78">
        <v>100</v>
      </c>
      <c r="K5" s="4" t="s">
        <v>501</v>
      </c>
      <c r="L5" s="75" t="s">
        <v>120</v>
      </c>
      <c r="M5" s="7"/>
      <c r="N5" s="8">
        <v>39955</v>
      </c>
    </row>
    <row r="6" spans="1:14" ht="36" customHeight="1" x14ac:dyDescent="0.25">
      <c r="A6" s="3">
        <v>3</v>
      </c>
      <c r="B6" s="3" t="s">
        <v>469</v>
      </c>
      <c r="C6" s="4" t="s">
        <v>517</v>
      </c>
      <c r="D6" s="76" t="s">
        <v>470</v>
      </c>
      <c r="E6" s="76" t="s">
        <v>465</v>
      </c>
      <c r="F6" s="5">
        <v>1510</v>
      </c>
      <c r="G6" s="18">
        <v>414.03</v>
      </c>
      <c r="H6" s="9">
        <v>327.58999999999997</v>
      </c>
      <c r="I6" s="18">
        <f t="shared" ref="I6:I18" si="0">MIN(G6+H6,F6)</f>
        <v>741.61999999999989</v>
      </c>
      <c r="J6" s="78">
        <v>50</v>
      </c>
      <c r="K6" s="4" t="s">
        <v>501</v>
      </c>
      <c r="L6" s="75" t="s">
        <v>120</v>
      </c>
      <c r="M6" s="7"/>
      <c r="N6" s="8">
        <v>39955</v>
      </c>
    </row>
    <row r="7" spans="1:14" ht="36" customHeight="1" x14ac:dyDescent="0.25">
      <c r="A7" s="3">
        <v>4</v>
      </c>
      <c r="B7" s="3" t="s">
        <v>471</v>
      </c>
      <c r="C7" s="4" t="s">
        <v>517</v>
      </c>
      <c r="D7" s="76" t="s">
        <v>472</v>
      </c>
      <c r="E7" s="76" t="s">
        <v>465</v>
      </c>
      <c r="F7" s="5">
        <v>6390</v>
      </c>
      <c r="G7" s="18">
        <v>1197.76</v>
      </c>
      <c r="H7" s="9">
        <v>1382.67</v>
      </c>
      <c r="I7" s="18">
        <f t="shared" si="0"/>
        <v>2580.4300000000003</v>
      </c>
      <c r="J7" s="78">
        <v>50</v>
      </c>
      <c r="K7" s="9" t="s">
        <v>501</v>
      </c>
      <c r="L7" s="75" t="s">
        <v>120</v>
      </c>
      <c r="M7" s="7"/>
      <c r="N7" s="8">
        <v>39955</v>
      </c>
    </row>
    <row r="8" spans="1:14" ht="36" customHeight="1" x14ac:dyDescent="0.25">
      <c r="A8" s="3">
        <v>5</v>
      </c>
      <c r="B8" s="3" t="s">
        <v>473</v>
      </c>
      <c r="C8" s="4" t="s">
        <v>517</v>
      </c>
      <c r="D8" s="76" t="s">
        <v>474</v>
      </c>
      <c r="E8" s="76" t="s">
        <v>465</v>
      </c>
      <c r="F8" s="5">
        <v>2400</v>
      </c>
      <c r="G8" s="18">
        <v>460.18</v>
      </c>
      <c r="H8" s="9">
        <v>519.03</v>
      </c>
      <c r="I8" s="18">
        <f t="shared" si="0"/>
        <v>979.21</v>
      </c>
      <c r="J8" s="78">
        <v>50</v>
      </c>
      <c r="K8" s="9" t="s">
        <v>501</v>
      </c>
      <c r="L8" s="75" t="s">
        <v>120</v>
      </c>
      <c r="M8" s="7"/>
      <c r="N8" s="8">
        <v>39955</v>
      </c>
    </row>
    <row r="9" spans="1:14" ht="36" customHeight="1" x14ac:dyDescent="0.25">
      <c r="A9" s="3">
        <v>6</v>
      </c>
      <c r="B9" s="3" t="s">
        <v>475</v>
      </c>
      <c r="C9" s="4" t="s">
        <v>517</v>
      </c>
      <c r="D9" s="76" t="s">
        <v>476</v>
      </c>
      <c r="E9" s="76" t="s">
        <v>465</v>
      </c>
      <c r="F9" s="5">
        <v>1020</v>
      </c>
      <c r="G9" s="18">
        <v>196.9</v>
      </c>
      <c r="H9" s="9">
        <v>221.23</v>
      </c>
      <c r="I9" s="18">
        <f t="shared" si="0"/>
        <v>418.13</v>
      </c>
      <c r="J9" s="78">
        <v>50</v>
      </c>
      <c r="K9" s="9" t="s">
        <v>501</v>
      </c>
      <c r="L9" s="75" t="s">
        <v>120</v>
      </c>
      <c r="M9" s="7"/>
      <c r="N9" s="8">
        <v>39955</v>
      </c>
    </row>
    <row r="10" spans="1:14" ht="36" customHeight="1" x14ac:dyDescent="0.25">
      <c r="A10" s="3">
        <v>7</v>
      </c>
      <c r="B10" s="3" t="s">
        <v>477</v>
      </c>
      <c r="C10" s="4" t="s">
        <v>518</v>
      </c>
      <c r="D10" s="76" t="s">
        <v>478</v>
      </c>
      <c r="E10" s="76" t="s">
        <v>516</v>
      </c>
      <c r="F10" s="5">
        <v>6320</v>
      </c>
      <c r="G10" s="18">
        <v>3858.56</v>
      </c>
      <c r="H10" s="9">
        <v>1941.32</v>
      </c>
      <c r="I10" s="18">
        <f t="shared" si="0"/>
        <v>5799.88</v>
      </c>
      <c r="J10" s="78">
        <v>200</v>
      </c>
      <c r="K10" s="4" t="s">
        <v>508</v>
      </c>
      <c r="L10" s="3" t="s">
        <v>507</v>
      </c>
      <c r="M10" s="7"/>
      <c r="N10" s="8">
        <v>39955</v>
      </c>
    </row>
    <row r="11" spans="1:14" ht="36" customHeight="1" x14ac:dyDescent="0.25">
      <c r="A11" s="3">
        <v>8</v>
      </c>
      <c r="B11" s="3" t="s">
        <v>479</v>
      </c>
      <c r="C11" s="4" t="s">
        <v>519</v>
      </c>
      <c r="D11" s="76" t="s">
        <v>480</v>
      </c>
      <c r="E11" s="3" t="s">
        <v>515</v>
      </c>
      <c r="F11" s="5">
        <v>0</v>
      </c>
      <c r="G11" s="18">
        <v>19325.02</v>
      </c>
      <c r="H11" s="9">
        <v>244.28</v>
      </c>
      <c r="I11" s="18">
        <v>244.28</v>
      </c>
      <c r="J11" s="78">
        <v>10</v>
      </c>
      <c r="K11" s="4" t="s">
        <v>509</v>
      </c>
      <c r="L11" s="9" t="s">
        <v>466</v>
      </c>
      <c r="M11" s="7"/>
      <c r="N11" s="8">
        <v>39955</v>
      </c>
    </row>
    <row r="12" spans="1:14" ht="36" customHeight="1" x14ac:dyDescent="0.25">
      <c r="A12" s="3">
        <v>9</v>
      </c>
      <c r="B12" s="3" t="s">
        <v>481</v>
      </c>
      <c r="C12" s="4" t="s">
        <v>519</v>
      </c>
      <c r="D12" s="76" t="s">
        <v>482</v>
      </c>
      <c r="E12" s="3" t="s">
        <v>515</v>
      </c>
      <c r="F12" s="5">
        <v>0</v>
      </c>
      <c r="G12" s="18">
        <v>3079.88</v>
      </c>
      <c r="H12" s="9">
        <v>244.28</v>
      </c>
      <c r="I12" s="18">
        <v>244.28</v>
      </c>
      <c r="J12" s="78">
        <v>1</v>
      </c>
      <c r="K12" s="4" t="s">
        <v>510</v>
      </c>
      <c r="L12" s="75" t="s">
        <v>120</v>
      </c>
      <c r="M12" s="7"/>
      <c r="N12" s="8">
        <v>39955</v>
      </c>
    </row>
    <row r="13" spans="1:14" ht="36" customHeight="1" x14ac:dyDescent="0.25">
      <c r="A13" s="3">
        <v>10</v>
      </c>
      <c r="B13" s="3" t="s">
        <v>483</v>
      </c>
      <c r="C13" s="4" t="s">
        <v>520</v>
      </c>
      <c r="D13" s="76" t="s">
        <v>484</v>
      </c>
      <c r="E13" s="3" t="s">
        <v>514</v>
      </c>
      <c r="F13" s="5">
        <v>1210</v>
      </c>
      <c r="G13" s="18">
        <v>642.73</v>
      </c>
      <c r="H13" s="9">
        <v>2455.1999999999998</v>
      </c>
      <c r="I13" s="18">
        <v>3097.93</v>
      </c>
      <c r="J13" s="3">
        <v>125</v>
      </c>
      <c r="K13" s="4" t="s">
        <v>511</v>
      </c>
      <c r="L13" s="3" t="s">
        <v>435</v>
      </c>
      <c r="M13" s="7"/>
      <c r="N13" s="8">
        <v>39955</v>
      </c>
    </row>
    <row r="14" spans="1:14" ht="36" customHeight="1" x14ac:dyDescent="0.25">
      <c r="A14" s="3">
        <v>11</v>
      </c>
      <c r="B14" s="3" t="s">
        <v>485</v>
      </c>
      <c r="C14" s="4" t="s">
        <v>521</v>
      </c>
      <c r="D14" s="77" t="s">
        <v>498</v>
      </c>
      <c r="E14" s="3" t="s">
        <v>513</v>
      </c>
      <c r="F14" s="5">
        <v>136260</v>
      </c>
      <c r="G14" s="18">
        <v>67939.92</v>
      </c>
      <c r="H14" s="9">
        <v>4622.67</v>
      </c>
      <c r="I14" s="18">
        <f t="shared" si="0"/>
        <v>72562.59</v>
      </c>
      <c r="J14" s="78">
        <v>73000</v>
      </c>
      <c r="K14" s="4" t="s">
        <v>505</v>
      </c>
      <c r="L14" s="3" t="s">
        <v>506</v>
      </c>
      <c r="M14" s="7"/>
      <c r="N14" s="8">
        <v>39955</v>
      </c>
    </row>
    <row r="15" spans="1:14" ht="36" customHeight="1" x14ac:dyDescent="0.25">
      <c r="A15" s="3">
        <v>12</v>
      </c>
      <c r="B15" s="3" t="s">
        <v>486</v>
      </c>
      <c r="C15" s="4" t="s">
        <v>522</v>
      </c>
      <c r="D15" s="77" t="s">
        <v>487</v>
      </c>
      <c r="E15" s="76" t="s">
        <v>492</v>
      </c>
      <c r="F15" s="5">
        <v>2930</v>
      </c>
      <c r="G15" s="18">
        <v>4612.76</v>
      </c>
      <c r="H15" s="9">
        <v>258.66000000000003</v>
      </c>
      <c r="I15" s="18">
        <v>3188.66</v>
      </c>
      <c r="J15" s="78">
        <v>100</v>
      </c>
      <c r="K15" s="4" t="s">
        <v>500</v>
      </c>
      <c r="L15" s="75" t="s">
        <v>120</v>
      </c>
      <c r="M15" s="7"/>
      <c r="N15" s="8">
        <v>39955</v>
      </c>
    </row>
    <row r="16" spans="1:14" ht="36" customHeight="1" x14ac:dyDescent="0.25">
      <c r="A16" s="3">
        <v>13</v>
      </c>
      <c r="B16" s="3" t="s">
        <v>488</v>
      </c>
      <c r="C16" s="4" t="s">
        <v>522</v>
      </c>
      <c r="D16" s="77" t="s">
        <v>489</v>
      </c>
      <c r="E16" s="76" t="s">
        <v>492</v>
      </c>
      <c r="F16" s="5">
        <v>13640</v>
      </c>
      <c r="G16" s="9">
        <v>4954.82</v>
      </c>
      <c r="H16" s="18">
        <v>1201.33</v>
      </c>
      <c r="I16" s="18">
        <f t="shared" si="0"/>
        <v>6156.15</v>
      </c>
      <c r="J16" s="78">
        <v>100</v>
      </c>
      <c r="K16" s="4" t="s">
        <v>500</v>
      </c>
      <c r="L16" s="75" t="s">
        <v>120</v>
      </c>
      <c r="M16" s="7"/>
      <c r="N16" s="8">
        <v>39955</v>
      </c>
    </row>
    <row r="17" spans="1:14" ht="36" customHeight="1" x14ac:dyDescent="0.25">
      <c r="A17" s="3">
        <v>14</v>
      </c>
      <c r="B17" s="3" t="s">
        <v>490</v>
      </c>
      <c r="C17" s="4" t="s">
        <v>522</v>
      </c>
      <c r="D17" s="77" t="s">
        <v>491</v>
      </c>
      <c r="E17" s="76" t="s">
        <v>492</v>
      </c>
      <c r="F17" s="5">
        <v>2930</v>
      </c>
      <c r="G17" s="18">
        <v>16687.18</v>
      </c>
      <c r="H17" s="18">
        <v>258.66000000000003</v>
      </c>
      <c r="I17" s="18">
        <v>3188.66</v>
      </c>
      <c r="J17" s="78">
        <v>100</v>
      </c>
      <c r="K17" s="3" t="s">
        <v>500</v>
      </c>
      <c r="L17" s="75" t="s">
        <v>120</v>
      </c>
      <c r="N17" s="8">
        <v>39955</v>
      </c>
    </row>
    <row r="18" spans="1:14" ht="36" customHeight="1" x14ac:dyDescent="0.25">
      <c r="A18" s="3">
        <v>15</v>
      </c>
      <c r="B18" s="3" t="s">
        <v>493</v>
      </c>
      <c r="C18" s="3" t="s">
        <v>523</v>
      </c>
      <c r="D18" s="77" t="s">
        <v>494</v>
      </c>
      <c r="E18" s="76" t="s">
        <v>495</v>
      </c>
      <c r="F18" s="5">
        <v>10240</v>
      </c>
      <c r="G18" s="18">
        <v>7389.72</v>
      </c>
      <c r="H18" s="18">
        <v>1955.13</v>
      </c>
      <c r="I18" s="18">
        <f t="shared" si="0"/>
        <v>9344.85</v>
      </c>
      <c r="J18" s="78">
        <v>75</v>
      </c>
      <c r="K18" s="3" t="s">
        <v>503</v>
      </c>
      <c r="L18" s="9" t="s">
        <v>466</v>
      </c>
      <c r="N18" s="8">
        <v>39955</v>
      </c>
    </row>
    <row r="19" spans="1:14" ht="36" customHeight="1" x14ac:dyDescent="0.25">
      <c r="A19" s="3">
        <v>16</v>
      </c>
      <c r="B19" s="3" t="s">
        <v>496</v>
      </c>
      <c r="C19" s="3" t="s">
        <v>524</v>
      </c>
      <c r="D19" s="77" t="s">
        <v>499</v>
      </c>
      <c r="E19" s="76" t="s">
        <v>497</v>
      </c>
      <c r="F19" s="5">
        <v>4320</v>
      </c>
      <c r="G19" s="18">
        <v>4688.25</v>
      </c>
      <c r="H19" s="18">
        <v>501.99</v>
      </c>
      <c r="I19" s="18">
        <v>3821.99</v>
      </c>
      <c r="J19" s="78">
        <v>500</v>
      </c>
      <c r="K19" s="3" t="s">
        <v>502</v>
      </c>
      <c r="L19" s="3" t="s">
        <v>503</v>
      </c>
      <c r="N19" s="8">
        <v>39955</v>
      </c>
    </row>
    <row r="20" spans="1:14" x14ac:dyDescent="0.25">
      <c r="A20" s="296" t="s">
        <v>74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</row>
    <row r="21" spans="1:14" x14ac:dyDescent="0.25">
      <c r="C21" s="3"/>
      <c r="D21" s="3"/>
    </row>
    <row r="22" spans="1:14" x14ac:dyDescent="0.25">
      <c r="C22" s="3"/>
      <c r="D22" s="3"/>
    </row>
    <row r="23" spans="1:14" x14ac:dyDescent="0.25">
      <c r="C23" s="3"/>
      <c r="D23" s="3"/>
    </row>
    <row r="24" spans="1:14" x14ac:dyDescent="0.25">
      <c r="C24" s="3"/>
      <c r="D24" s="3"/>
    </row>
    <row r="25" spans="1:14" x14ac:dyDescent="0.25">
      <c r="C25" s="3"/>
      <c r="D25" s="3"/>
    </row>
    <row r="26" spans="1:14" x14ac:dyDescent="0.25">
      <c r="C26" s="3"/>
      <c r="D26" s="3"/>
    </row>
    <row r="27" spans="1:14" x14ac:dyDescent="0.25">
      <c r="C27" s="3"/>
      <c r="D27" s="3"/>
    </row>
    <row r="28" spans="1:14" x14ac:dyDescent="0.25">
      <c r="C28" s="3"/>
      <c r="D28" s="3"/>
    </row>
    <row r="29" spans="1:14" x14ac:dyDescent="0.25">
      <c r="C29" s="3"/>
      <c r="D29" s="3"/>
    </row>
    <row r="30" spans="1:14" x14ac:dyDescent="0.25">
      <c r="C30" s="3"/>
      <c r="D30" s="3"/>
    </row>
    <row r="31" spans="1:14" x14ac:dyDescent="0.25">
      <c r="C31" s="3"/>
      <c r="D31" s="3"/>
    </row>
    <row r="32" spans="1:14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  <row r="47" spans="3:4" x14ac:dyDescent="0.25">
      <c r="C47" s="3"/>
      <c r="D47" s="3"/>
    </row>
    <row r="48" spans="3:4" x14ac:dyDescent="0.25">
      <c r="C48" s="3"/>
      <c r="D48" s="3"/>
    </row>
    <row r="49" spans="3:4" x14ac:dyDescent="0.25">
      <c r="C49" s="3"/>
      <c r="D49" s="3"/>
    </row>
    <row r="50" spans="3:4" x14ac:dyDescent="0.25">
      <c r="C50" s="3"/>
      <c r="D50" s="3"/>
    </row>
    <row r="51" spans="3:4" x14ac:dyDescent="0.25">
      <c r="C51" s="3"/>
      <c r="D51" s="3"/>
    </row>
    <row r="52" spans="3:4" x14ac:dyDescent="0.25">
      <c r="C52" s="3"/>
      <c r="D52" s="3"/>
    </row>
    <row r="53" spans="3:4" x14ac:dyDescent="0.25">
      <c r="C53" s="3"/>
      <c r="D53" s="3"/>
    </row>
    <row r="54" spans="3:4" x14ac:dyDescent="0.25">
      <c r="C54" s="3"/>
      <c r="D54" s="3"/>
    </row>
    <row r="55" spans="3:4" x14ac:dyDescent="0.25">
      <c r="C55" s="3"/>
      <c r="D55" s="3"/>
    </row>
    <row r="56" spans="3:4" x14ac:dyDescent="0.25">
      <c r="C56" s="3"/>
      <c r="D56" s="3"/>
    </row>
    <row r="57" spans="3:4" x14ac:dyDescent="0.25">
      <c r="C57" s="3"/>
      <c r="D57" s="3"/>
    </row>
    <row r="58" spans="3:4" x14ac:dyDescent="0.25">
      <c r="C58" s="3"/>
      <c r="D58" s="3"/>
    </row>
    <row r="59" spans="3:4" x14ac:dyDescent="0.25">
      <c r="C59" s="3"/>
      <c r="D59" s="3"/>
    </row>
    <row r="60" spans="3:4" x14ac:dyDescent="0.25">
      <c r="C60" s="3"/>
      <c r="D60" s="3"/>
    </row>
    <row r="61" spans="3:4" x14ac:dyDescent="0.25">
      <c r="C61" s="3"/>
      <c r="D61" s="3"/>
    </row>
    <row r="62" spans="3:4" x14ac:dyDescent="0.25">
      <c r="C62" s="3"/>
      <c r="D62" s="3"/>
    </row>
    <row r="63" spans="3:4" x14ac:dyDescent="0.25">
      <c r="C63" s="3"/>
      <c r="D63" s="3"/>
    </row>
    <row r="64" spans="3:4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  <row r="124" spans="3:4" x14ac:dyDescent="0.25">
      <c r="C124" s="3"/>
      <c r="D124" s="3"/>
    </row>
    <row r="125" spans="3:4" x14ac:dyDescent="0.25">
      <c r="C125" s="3"/>
      <c r="D125" s="3"/>
    </row>
    <row r="126" spans="3:4" x14ac:dyDescent="0.25">
      <c r="C126" s="3"/>
      <c r="D126" s="3"/>
    </row>
    <row r="127" spans="3:4" x14ac:dyDescent="0.25">
      <c r="C127" s="3"/>
      <c r="D127" s="3"/>
    </row>
    <row r="128" spans="3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>
      <c r="C131" s="3"/>
      <c r="D131" s="3"/>
    </row>
    <row r="132" spans="3:4" x14ac:dyDescent="0.25">
      <c r="C132" s="3"/>
      <c r="D132" s="3"/>
    </row>
    <row r="133" spans="3:4" x14ac:dyDescent="0.25">
      <c r="C133" s="3"/>
      <c r="D133" s="3"/>
    </row>
    <row r="134" spans="3:4" x14ac:dyDescent="0.25">
      <c r="C134" s="3"/>
      <c r="D134" s="3"/>
    </row>
    <row r="135" spans="3:4" x14ac:dyDescent="0.25">
      <c r="C135" s="3"/>
      <c r="D135" s="3"/>
    </row>
    <row r="136" spans="3:4" x14ac:dyDescent="0.25">
      <c r="C136" s="3"/>
      <c r="D136" s="3"/>
    </row>
    <row r="137" spans="3:4" x14ac:dyDescent="0.25">
      <c r="C137" s="3"/>
      <c r="D137" s="3"/>
    </row>
    <row r="138" spans="3:4" x14ac:dyDescent="0.25">
      <c r="C138" s="3"/>
      <c r="D138" s="3"/>
    </row>
    <row r="139" spans="3:4" x14ac:dyDescent="0.25">
      <c r="C139" s="3"/>
      <c r="D139" s="3"/>
    </row>
    <row r="140" spans="3:4" x14ac:dyDescent="0.25">
      <c r="C140" s="3"/>
      <c r="D140" s="3"/>
    </row>
    <row r="141" spans="3:4" x14ac:dyDescent="0.25">
      <c r="C141" s="3"/>
      <c r="D141" s="3"/>
    </row>
    <row r="142" spans="3:4" x14ac:dyDescent="0.25">
      <c r="C142" s="3"/>
      <c r="D142" s="3"/>
    </row>
    <row r="143" spans="3:4" x14ac:dyDescent="0.25">
      <c r="C143" s="3"/>
      <c r="D143" s="3"/>
    </row>
    <row r="144" spans="3:4" x14ac:dyDescent="0.25">
      <c r="C144" s="3"/>
      <c r="D144" s="3"/>
    </row>
    <row r="145" spans="3:4" x14ac:dyDescent="0.25">
      <c r="C145" s="3"/>
      <c r="D145" s="3"/>
    </row>
    <row r="146" spans="3:4" x14ac:dyDescent="0.25">
      <c r="C146" s="3"/>
      <c r="D146" s="3"/>
    </row>
    <row r="147" spans="3:4" x14ac:dyDescent="0.25">
      <c r="C147" s="3"/>
      <c r="D147" s="3"/>
    </row>
    <row r="148" spans="3:4" x14ac:dyDescent="0.25">
      <c r="C148" s="3"/>
      <c r="D148" s="3"/>
    </row>
    <row r="149" spans="3:4" x14ac:dyDescent="0.25">
      <c r="C149" s="3"/>
      <c r="D149" s="3"/>
    </row>
    <row r="150" spans="3:4" x14ac:dyDescent="0.25">
      <c r="C150" s="3"/>
      <c r="D150" s="3"/>
    </row>
    <row r="151" spans="3:4" x14ac:dyDescent="0.25">
      <c r="C151" s="3"/>
      <c r="D151" s="3"/>
    </row>
    <row r="152" spans="3:4" x14ac:dyDescent="0.25">
      <c r="C152" s="3"/>
      <c r="D152" s="3"/>
    </row>
    <row r="153" spans="3:4" x14ac:dyDescent="0.25">
      <c r="C153" s="3"/>
      <c r="D153" s="3"/>
    </row>
    <row r="154" spans="3:4" x14ac:dyDescent="0.25">
      <c r="C154" s="3"/>
      <c r="D154" s="3"/>
    </row>
    <row r="155" spans="3:4" x14ac:dyDescent="0.25">
      <c r="C155" s="3"/>
      <c r="D155" s="3"/>
    </row>
    <row r="156" spans="3:4" x14ac:dyDescent="0.25">
      <c r="C156" s="3"/>
      <c r="D156" s="3"/>
    </row>
    <row r="157" spans="3:4" x14ac:dyDescent="0.25">
      <c r="C157" s="3"/>
      <c r="D157" s="3"/>
    </row>
    <row r="158" spans="3:4" x14ac:dyDescent="0.25">
      <c r="C158" s="3"/>
      <c r="D158" s="3"/>
    </row>
    <row r="159" spans="3:4" x14ac:dyDescent="0.25">
      <c r="C159" s="3"/>
      <c r="D159" s="3"/>
    </row>
    <row r="160" spans="3:4" x14ac:dyDescent="0.25">
      <c r="C160" s="3"/>
      <c r="D160" s="3"/>
    </row>
    <row r="161" spans="3:4" x14ac:dyDescent="0.25">
      <c r="C161" s="3"/>
      <c r="D161" s="3"/>
    </row>
    <row r="162" spans="3:4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  <row r="169" spans="3:4" x14ac:dyDescent="0.25">
      <c r="C169" s="3"/>
      <c r="D169" s="3"/>
    </row>
    <row r="170" spans="3:4" x14ac:dyDescent="0.25">
      <c r="C170" s="3"/>
      <c r="D170" s="3"/>
    </row>
    <row r="171" spans="3:4" x14ac:dyDescent="0.25">
      <c r="C171" s="3"/>
      <c r="D171" s="3"/>
    </row>
    <row r="172" spans="3:4" x14ac:dyDescent="0.25">
      <c r="C172" s="3"/>
      <c r="D172" s="3"/>
    </row>
    <row r="173" spans="3:4" x14ac:dyDescent="0.25">
      <c r="C173" s="3"/>
      <c r="D173" s="3"/>
    </row>
    <row r="174" spans="3:4" x14ac:dyDescent="0.25">
      <c r="C174" s="3"/>
      <c r="D174" s="3"/>
    </row>
    <row r="175" spans="3:4" x14ac:dyDescent="0.25">
      <c r="C175" s="3"/>
      <c r="D175" s="3"/>
    </row>
    <row r="176" spans="3:4" x14ac:dyDescent="0.25">
      <c r="C176" s="3"/>
      <c r="D176" s="3"/>
    </row>
    <row r="177" spans="3:4" x14ac:dyDescent="0.25">
      <c r="C177" s="3"/>
      <c r="D177" s="3"/>
    </row>
    <row r="178" spans="3:4" x14ac:dyDescent="0.25">
      <c r="C178" s="3"/>
      <c r="D178" s="3"/>
    </row>
    <row r="179" spans="3:4" x14ac:dyDescent="0.25">
      <c r="C179" s="3"/>
      <c r="D179" s="3"/>
    </row>
    <row r="180" spans="3:4" x14ac:dyDescent="0.25">
      <c r="C180" s="3"/>
      <c r="D180" s="3"/>
    </row>
    <row r="181" spans="3:4" x14ac:dyDescent="0.25">
      <c r="C181" s="3"/>
      <c r="D181" s="3"/>
    </row>
    <row r="182" spans="3:4" x14ac:dyDescent="0.25">
      <c r="C182" s="3"/>
      <c r="D182" s="3"/>
    </row>
    <row r="183" spans="3:4" x14ac:dyDescent="0.25">
      <c r="C183" s="3"/>
      <c r="D183" s="3"/>
    </row>
    <row r="184" spans="3:4" x14ac:dyDescent="0.25">
      <c r="C184" s="3"/>
      <c r="D184" s="3"/>
    </row>
    <row r="185" spans="3:4" x14ac:dyDescent="0.25">
      <c r="C185" s="3"/>
      <c r="D185" s="3"/>
    </row>
    <row r="186" spans="3:4" x14ac:dyDescent="0.25">
      <c r="C186" s="3"/>
      <c r="D186" s="3"/>
    </row>
    <row r="187" spans="3:4" x14ac:dyDescent="0.25">
      <c r="C187" s="3"/>
      <c r="D187" s="3"/>
    </row>
    <row r="188" spans="3:4" x14ac:dyDescent="0.25">
      <c r="C188" s="3"/>
      <c r="D188" s="3"/>
    </row>
    <row r="189" spans="3:4" x14ac:dyDescent="0.25">
      <c r="C189" s="3"/>
      <c r="D189" s="3"/>
    </row>
    <row r="190" spans="3:4" x14ac:dyDescent="0.25">
      <c r="C190" s="3"/>
      <c r="D190" s="3"/>
    </row>
    <row r="191" spans="3:4" x14ac:dyDescent="0.25">
      <c r="C191" s="3"/>
      <c r="D191" s="3"/>
    </row>
    <row r="192" spans="3:4" x14ac:dyDescent="0.25">
      <c r="C192" s="3"/>
      <c r="D192" s="3"/>
    </row>
    <row r="193" spans="3:4" x14ac:dyDescent="0.25">
      <c r="C193" s="3"/>
      <c r="D193" s="3"/>
    </row>
    <row r="194" spans="3:4" x14ac:dyDescent="0.25">
      <c r="C194" s="3"/>
      <c r="D194" s="3"/>
    </row>
    <row r="195" spans="3:4" x14ac:dyDescent="0.25">
      <c r="C195" s="3"/>
      <c r="D195" s="3"/>
    </row>
    <row r="196" spans="3:4" x14ac:dyDescent="0.25">
      <c r="C196" s="3"/>
      <c r="D196" s="3"/>
    </row>
    <row r="197" spans="3:4" x14ac:dyDescent="0.25">
      <c r="C197" s="3"/>
      <c r="D197" s="3"/>
    </row>
    <row r="198" spans="3:4" x14ac:dyDescent="0.25">
      <c r="C198" s="3"/>
      <c r="D198" s="3"/>
    </row>
    <row r="199" spans="3:4" x14ac:dyDescent="0.25">
      <c r="C199" s="3"/>
      <c r="D199" s="3"/>
    </row>
    <row r="200" spans="3:4" x14ac:dyDescent="0.25">
      <c r="C200" s="3"/>
      <c r="D200" s="3"/>
    </row>
    <row r="201" spans="3:4" x14ac:dyDescent="0.25">
      <c r="C201" s="3"/>
      <c r="D201" s="3"/>
    </row>
    <row r="202" spans="3:4" x14ac:dyDescent="0.25">
      <c r="C202" s="3"/>
      <c r="D202" s="3"/>
    </row>
    <row r="203" spans="3:4" x14ac:dyDescent="0.25">
      <c r="C203" s="3"/>
      <c r="D203" s="3"/>
    </row>
    <row r="204" spans="3:4" x14ac:dyDescent="0.25">
      <c r="C204" s="3"/>
      <c r="D204" s="3"/>
    </row>
    <row r="205" spans="3:4" x14ac:dyDescent="0.25">
      <c r="C205" s="3"/>
      <c r="D205" s="3"/>
    </row>
    <row r="206" spans="3:4" x14ac:dyDescent="0.25">
      <c r="C206" s="3"/>
      <c r="D206" s="3"/>
    </row>
    <row r="207" spans="3:4" x14ac:dyDescent="0.25">
      <c r="C207" s="3"/>
      <c r="D207" s="3"/>
    </row>
    <row r="208" spans="3:4" x14ac:dyDescent="0.25">
      <c r="C208" s="3"/>
      <c r="D208" s="3"/>
    </row>
    <row r="209" spans="3:4" x14ac:dyDescent="0.25">
      <c r="C209" s="3"/>
      <c r="D209" s="3"/>
    </row>
    <row r="210" spans="3:4" x14ac:dyDescent="0.25">
      <c r="C210" s="3"/>
      <c r="D210" s="3"/>
    </row>
    <row r="211" spans="3:4" x14ac:dyDescent="0.25">
      <c r="C211" s="3"/>
      <c r="D211" s="3"/>
    </row>
    <row r="212" spans="3:4" x14ac:dyDescent="0.25">
      <c r="C212" s="3"/>
      <c r="D212" s="3"/>
    </row>
    <row r="213" spans="3:4" x14ac:dyDescent="0.25">
      <c r="C213" s="3"/>
      <c r="D213" s="3"/>
    </row>
    <row r="214" spans="3:4" x14ac:dyDescent="0.25">
      <c r="C214" s="3"/>
      <c r="D214" s="3"/>
    </row>
    <row r="215" spans="3:4" x14ac:dyDescent="0.25">
      <c r="C215" s="3"/>
      <c r="D215" s="3"/>
    </row>
    <row r="216" spans="3:4" x14ac:dyDescent="0.25">
      <c r="C216" s="3"/>
      <c r="D216" s="3"/>
    </row>
    <row r="217" spans="3:4" x14ac:dyDescent="0.25">
      <c r="C217" s="3"/>
      <c r="D217" s="3"/>
    </row>
    <row r="218" spans="3:4" x14ac:dyDescent="0.25">
      <c r="C218" s="3"/>
      <c r="D218" s="3"/>
    </row>
    <row r="219" spans="3:4" x14ac:dyDescent="0.25">
      <c r="C219" s="3"/>
      <c r="D219" s="3"/>
    </row>
    <row r="220" spans="3:4" x14ac:dyDescent="0.25">
      <c r="C220" s="3"/>
      <c r="D220" s="3"/>
    </row>
    <row r="221" spans="3:4" x14ac:dyDescent="0.25">
      <c r="C221" s="3"/>
      <c r="D221" s="3"/>
    </row>
    <row r="222" spans="3:4" x14ac:dyDescent="0.25">
      <c r="C222" s="3"/>
      <c r="D222" s="3"/>
    </row>
    <row r="223" spans="3:4" x14ac:dyDescent="0.25">
      <c r="C223" s="3"/>
      <c r="D223" s="3"/>
    </row>
    <row r="224" spans="3:4" x14ac:dyDescent="0.25">
      <c r="C224" s="3"/>
      <c r="D224" s="3"/>
    </row>
    <row r="225" spans="3:4" x14ac:dyDescent="0.25">
      <c r="C225" s="3"/>
      <c r="D225" s="3"/>
    </row>
    <row r="226" spans="3:4" x14ac:dyDescent="0.25">
      <c r="C226" s="3"/>
      <c r="D226" s="3"/>
    </row>
    <row r="227" spans="3:4" x14ac:dyDescent="0.25">
      <c r="C227" s="3"/>
      <c r="D227" s="3"/>
    </row>
    <row r="228" spans="3:4" x14ac:dyDescent="0.25">
      <c r="C228" s="3"/>
      <c r="D228" s="3"/>
    </row>
    <row r="229" spans="3:4" x14ac:dyDescent="0.25">
      <c r="C229" s="3"/>
      <c r="D229" s="3"/>
    </row>
    <row r="230" spans="3:4" x14ac:dyDescent="0.25">
      <c r="C230" s="3"/>
      <c r="D230" s="3"/>
    </row>
    <row r="231" spans="3:4" x14ac:dyDescent="0.25">
      <c r="C231" s="3"/>
      <c r="D231" s="3"/>
    </row>
    <row r="232" spans="3:4" x14ac:dyDescent="0.25">
      <c r="C232" s="3"/>
      <c r="D232" s="3"/>
    </row>
    <row r="233" spans="3:4" x14ac:dyDescent="0.25">
      <c r="C233" s="3"/>
      <c r="D233" s="3"/>
    </row>
    <row r="234" spans="3:4" x14ac:dyDescent="0.25">
      <c r="C234" s="3"/>
      <c r="D234" s="3"/>
    </row>
    <row r="235" spans="3:4" x14ac:dyDescent="0.25">
      <c r="C235" s="3"/>
      <c r="D235" s="3"/>
    </row>
    <row r="236" spans="3:4" x14ac:dyDescent="0.25">
      <c r="C236" s="3"/>
      <c r="D236" s="3"/>
    </row>
    <row r="237" spans="3:4" x14ac:dyDescent="0.25">
      <c r="C237" s="3"/>
      <c r="D237" s="3"/>
    </row>
    <row r="238" spans="3:4" x14ac:dyDescent="0.25">
      <c r="C238" s="3"/>
      <c r="D238" s="3"/>
    </row>
    <row r="239" spans="3:4" x14ac:dyDescent="0.25">
      <c r="C239" s="3"/>
      <c r="D239" s="3"/>
    </row>
    <row r="240" spans="3:4" x14ac:dyDescent="0.25">
      <c r="C240" s="3"/>
      <c r="D240" s="3"/>
    </row>
    <row r="241" spans="3:4" x14ac:dyDescent="0.25">
      <c r="C241" s="3"/>
      <c r="D241" s="3"/>
    </row>
    <row r="242" spans="3:4" x14ac:dyDescent="0.25">
      <c r="C242" s="3"/>
      <c r="D242" s="3"/>
    </row>
    <row r="243" spans="3:4" x14ac:dyDescent="0.25">
      <c r="C243" s="3"/>
      <c r="D243" s="3"/>
    </row>
    <row r="244" spans="3:4" x14ac:dyDescent="0.25">
      <c r="C244" s="3"/>
      <c r="D244" s="3"/>
    </row>
    <row r="245" spans="3:4" x14ac:dyDescent="0.25">
      <c r="C245" s="3"/>
      <c r="D245" s="3"/>
    </row>
    <row r="246" spans="3:4" x14ac:dyDescent="0.25">
      <c r="C246" s="3"/>
      <c r="D246" s="3"/>
    </row>
    <row r="247" spans="3:4" x14ac:dyDescent="0.25">
      <c r="C247" s="3"/>
      <c r="D247" s="3"/>
    </row>
    <row r="248" spans="3:4" x14ac:dyDescent="0.25">
      <c r="C248" s="3"/>
      <c r="D248" s="3"/>
    </row>
    <row r="249" spans="3:4" x14ac:dyDescent="0.25">
      <c r="C249" s="3"/>
      <c r="D249" s="3"/>
    </row>
    <row r="250" spans="3:4" x14ac:dyDescent="0.25">
      <c r="C250" s="3"/>
      <c r="D250" s="3"/>
    </row>
    <row r="251" spans="3:4" x14ac:dyDescent="0.25">
      <c r="C251" s="3"/>
      <c r="D251" s="3"/>
    </row>
    <row r="252" spans="3:4" x14ac:dyDescent="0.25">
      <c r="C252" s="3"/>
      <c r="D252" s="3"/>
    </row>
    <row r="253" spans="3:4" x14ac:dyDescent="0.25">
      <c r="C253" s="3"/>
      <c r="D253" s="3"/>
    </row>
    <row r="254" spans="3:4" x14ac:dyDescent="0.25">
      <c r="C254" s="3"/>
      <c r="D254" s="3"/>
    </row>
    <row r="255" spans="3:4" x14ac:dyDescent="0.25">
      <c r="C255" s="3"/>
      <c r="D255" s="3"/>
    </row>
    <row r="256" spans="3:4" x14ac:dyDescent="0.25">
      <c r="C256" s="3"/>
      <c r="D256" s="3"/>
    </row>
    <row r="257" spans="3:4" x14ac:dyDescent="0.25">
      <c r="C257" s="3"/>
      <c r="D257" s="3"/>
    </row>
    <row r="258" spans="3:4" x14ac:dyDescent="0.25">
      <c r="C258" s="3"/>
      <c r="D258" s="3"/>
    </row>
    <row r="259" spans="3:4" x14ac:dyDescent="0.25">
      <c r="C259" s="3"/>
      <c r="D259" s="3"/>
    </row>
    <row r="260" spans="3:4" x14ac:dyDescent="0.25">
      <c r="C260" s="3"/>
      <c r="D260" s="3"/>
    </row>
    <row r="261" spans="3:4" x14ac:dyDescent="0.25">
      <c r="C261" s="3"/>
      <c r="D261" s="3"/>
    </row>
    <row r="262" spans="3:4" x14ac:dyDescent="0.25">
      <c r="C262" s="3"/>
      <c r="D262" s="3"/>
    </row>
    <row r="263" spans="3:4" x14ac:dyDescent="0.25">
      <c r="C263" s="3"/>
      <c r="D263" s="3"/>
    </row>
    <row r="264" spans="3:4" x14ac:dyDescent="0.25">
      <c r="C264" s="3"/>
      <c r="D264" s="3"/>
    </row>
    <row r="265" spans="3:4" x14ac:dyDescent="0.25">
      <c r="C265" s="3"/>
      <c r="D265" s="3"/>
    </row>
    <row r="266" spans="3:4" x14ac:dyDescent="0.25">
      <c r="C266" s="3"/>
      <c r="D266" s="3"/>
    </row>
    <row r="267" spans="3:4" x14ac:dyDescent="0.25">
      <c r="C267" s="3"/>
      <c r="D267" s="3"/>
    </row>
    <row r="268" spans="3:4" x14ac:dyDescent="0.25">
      <c r="C268" s="3"/>
      <c r="D268" s="3"/>
    </row>
    <row r="269" spans="3:4" x14ac:dyDescent="0.25">
      <c r="C269" s="3"/>
      <c r="D269" s="3"/>
    </row>
    <row r="270" spans="3:4" x14ac:dyDescent="0.25">
      <c r="C270" s="3"/>
      <c r="D270" s="3"/>
    </row>
    <row r="271" spans="3:4" x14ac:dyDescent="0.25">
      <c r="C271" s="3"/>
      <c r="D271" s="3"/>
    </row>
    <row r="272" spans="3:4" x14ac:dyDescent="0.25">
      <c r="C272" s="3"/>
      <c r="D272" s="3"/>
    </row>
    <row r="273" spans="3:4" x14ac:dyDescent="0.25">
      <c r="C273" s="3"/>
      <c r="D273" s="3"/>
    </row>
    <row r="274" spans="3:4" x14ac:dyDescent="0.25">
      <c r="C274" s="3"/>
      <c r="D274" s="3"/>
    </row>
    <row r="275" spans="3:4" x14ac:dyDescent="0.25">
      <c r="C275" s="3"/>
      <c r="D275" s="3"/>
    </row>
    <row r="276" spans="3:4" x14ac:dyDescent="0.25">
      <c r="C276" s="3"/>
      <c r="D276" s="3"/>
    </row>
    <row r="277" spans="3:4" x14ac:dyDescent="0.25">
      <c r="C277" s="3"/>
      <c r="D277" s="3"/>
    </row>
    <row r="278" spans="3:4" x14ac:dyDescent="0.25">
      <c r="C278" s="3"/>
      <c r="D278" s="3"/>
    </row>
    <row r="279" spans="3:4" x14ac:dyDescent="0.25">
      <c r="C279" s="3"/>
      <c r="D279" s="3"/>
    </row>
    <row r="280" spans="3:4" x14ac:dyDescent="0.25">
      <c r="C280" s="3"/>
      <c r="D280" s="3"/>
    </row>
    <row r="281" spans="3:4" x14ac:dyDescent="0.25">
      <c r="C281" s="3"/>
      <c r="D281" s="3"/>
    </row>
    <row r="282" spans="3:4" x14ac:dyDescent="0.25">
      <c r="C282" s="3"/>
      <c r="D282" s="3"/>
    </row>
    <row r="283" spans="3:4" x14ac:dyDescent="0.25">
      <c r="C283" s="3"/>
      <c r="D283" s="3"/>
    </row>
    <row r="284" spans="3:4" x14ac:dyDescent="0.25">
      <c r="C284" s="3"/>
      <c r="D284" s="3"/>
    </row>
    <row r="285" spans="3:4" x14ac:dyDescent="0.25">
      <c r="C285" s="3"/>
      <c r="D285" s="3"/>
    </row>
    <row r="286" spans="3:4" x14ac:dyDescent="0.25">
      <c r="C286" s="3"/>
      <c r="D286" s="3"/>
    </row>
    <row r="287" spans="3:4" x14ac:dyDescent="0.25">
      <c r="C287" s="3"/>
      <c r="D287" s="3"/>
    </row>
    <row r="288" spans="3:4" x14ac:dyDescent="0.25">
      <c r="C288" s="3"/>
      <c r="D288" s="3"/>
    </row>
    <row r="289" spans="3:4" x14ac:dyDescent="0.25">
      <c r="C289" s="3"/>
      <c r="D289" s="3"/>
    </row>
    <row r="290" spans="3:4" x14ac:dyDescent="0.25">
      <c r="C290" s="3"/>
      <c r="D290" s="3"/>
    </row>
    <row r="291" spans="3:4" x14ac:dyDescent="0.25">
      <c r="C291" s="3"/>
      <c r="D291" s="3"/>
    </row>
    <row r="292" spans="3:4" x14ac:dyDescent="0.25">
      <c r="C292" s="3"/>
      <c r="D292" s="3"/>
    </row>
    <row r="293" spans="3:4" x14ac:dyDescent="0.25">
      <c r="C293" s="3"/>
      <c r="D293" s="3"/>
    </row>
    <row r="294" spans="3:4" x14ac:dyDescent="0.25">
      <c r="C294" s="3"/>
      <c r="D294" s="3"/>
    </row>
    <row r="295" spans="3:4" x14ac:dyDescent="0.25">
      <c r="C295" s="3"/>
      <c r="D295" s="3"/>
    </row>
    <row r="296" spans="3:4" x14ac:dyDescent="0.25">
      <c r="C296" s="3"/>
      <c r="D296" s="3"/>
    </row>
    <row r="297" spans="3:4" x14ac:dyDescent="0.25">
      <c r="C297" s="3"/>
      <c r="D297" s="3"/>
    </row>
    <row r="298" spans="3:4" x14ac:dyDescent="0.25">
      <c r="C298" s="3"/>
      <c r="D298" s="3"/>
    </row>
    <row r="299" spans="3:4" x14ac:dyDescent="0.25">
      <c r="C299" s="3"/>
      <c r="D299" s="3"/>
    </row>
    <row r="300" spans="3:4" x14ac:dyDescent="0.25">
      <c r="C300" s="3"/>
      <c r="D300" s="3"/>
    </row>
    <row r="301" spans="3:4" x14ac:dyDescent="0.25">
      <c r="C301" s="3"/>
      <c r="D301" s="3"/>
    </row>
    <row r="302" spans="3:4" x14ac:dyDescent="0.25">
      <c r="C302" s="3"/>
      <c r="D302" s="3"/>
    </row>
    <row r="303" spans="3:4" x14ac:dyDescent="0.25">
      <c r="C303" s="3"/>
      <c r="D303" s="3"/>
    </row>
  </sheetData>
  <mergeCells count="2">
    <mergeCell ref="A1:N1"/>
    <mergeCell ref="A20:N2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07"/>
  <sheetViews>
    <sheetView workbookViewId="0">
      <selection activeCell="I27" sqref="I27"/>
    </sheetView>
  </sheetViews>
  <sheetFormatPr defaultColWidth="13.42578125" defaultRowHeight="12" x14ac:dyDescent="0.25"/>
  <cols>
    <col min="1" max="1" width="3" style="103" bestFit="1" customWidth="1"/>
    <col min="2" max="2" width="15.28515625" style="103" bestFit="1" customWidth="1"/>
    <col min="3" max="3" width="13.5703125" style="112" bestFit="1" customWidth="1"/>
    <col min="4" max="4" width="19.28515625" style="112" customWidth="1"/>
    <col min="5" max="5" width="9.85546875" style="103" bestFit="1" customWidth="1"/>
    <col min="6" max="6" width="7.85546875" style="113" bestFit="1" customWidth="1"/>
    <col min="7" max="7" width="9.140625" style="111" customWidth="1"/>
    <col min="8" max="8" width="9" style="111" bestFit="1" customWidth="1"/>
    <col min="9" max="9" width="9.28515625" style="111" bestFit="1" customWidth="1"/>
    <col min="10" max="10" width="9" style="154" customWidth="1"/>
    <col min="11" max="12" width="14.85546875" style="103" customWidth="1"/>
    <col min="13" max="13" width="20.5703125" style="103" customWidth="1"/>
    <col min="14" max="14" width="9.85546875" style="103" bestFit="1" customWidth="1"/>
    <col min="15" max="16384" width="13.42578125" style="103"/>
  </cols>
  <sheetData>
    <row r="1" spans="1:14" s="97" customFormat="1" ht="15" x14ac:dyDescent="0.25">
      <c r="A1" s="305" t="s">
        <v>629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14">
        <v>42667</v>
      </c>
    </row>
    <row r="2" spans="1:14" ht="45" customHeight="1" x14ac:dyDescent="0.25">
      <c r="A2" s="98" t="s">
        <v>554</v>
      </c>
      <c r="B2" s="99" t="s">
        <v>3</v>
      </c>
      <c r="C2" s="98" t="s">
        <v>4</v>
      </c>
      <c r="D2" s="98" t="s">
        <v>5</v>
      </c>
      <c r="E2" s="98" t="s">
        <v>6</v>
      </c>
      <c r="F2" s="100" t="s">
        <v>7</v>
      </c>
      <c r="G2" s="101" t="s">
        <v>630</v>
      </c>
      <c r="H2" s="102" t="s">
        <v>631</v>
      </c>
      <c r="I2" s="101" t="s">
        <v>632</v>
      </c>
      <c r="J2" s="150" t="s">
        <v>11</v>
      </c>
      <c r="K2" s="98" t="s">
        <v>12</v>
      </c>
      <c r="L2" s="98" t="s">
        <v>13</v>
      </c>
      <c r="M2" s="98" t="s">
        <v>14</v>
      </c>
      <c r="N2" s="98" t="s">
        <v>15</v>
      </c>
    </row>
    <row r="3" spans="1:14" ht="45" customHeight="1" x14ac:dyDescent="0.25">
      <c r="A3" s="104">
        <v>1</v>
      </c>
      <c r="B3" s="104" t="s">
        <v>560</v>
      </c>
      <c r="C3" s="105" t="s">
        <v>540</v>
      </c>
      <c r="D3" s="105" t="s">
        <v>561</v>
      </c>
      <c r="E3" s="106" t="s">
        <v>542</v>
      </c>
      <c r="F3" s="107">
        <v>3500</v>
      </c>
      <c r="G3" s="108">
        <v>5148.63</v>
      </c>
      <c r="H3" s="108">
        <f>759.57+54.89+26.92</f>
        <v>841.38</v>
      </c>
      <c r="I3" s="84">
        <f>MIN(G3+H3,F3)</f>
        <v>3500</v>
      </c>
      <c r="J3" s="307" t="s">
        <v>562</v>
      </c>
      <c r="K3" s="308"/>
      <c r="L3" s="309"/>
      <c r="M3" s="105" t="s">
        <v>633</v>
      </c>
      <c r="N3" s="109">
        <v>42671</v>
      </c>
    </row>
    <row r="4" spans="1:14" ht="45" customHeight="1" x14ac:dyDescent="0.25">
      <c r="A4" s="104">
        <v>2</v>
      </c>
      <c r="B4" s="104" t="s">
        <v>563</v>
      </c>
      <c r="C4" s="105" t="s">
        <v>540</v>
      </c>
      <c r="D4" s="105" t="s">
        <v>561</v>
      </c>
      <c r="E4" s="106" t="s">
        <v>544</v>
      </c>
      <c r="F4" s="107">
        <v>18</v>
      </c>
      <c r="G4" s="108">
        <v>1465.68</v>
      </c>
      <c r="H4" s="108">
        <f>SUM(759.57+54.89+26.92)</f>
        <v>841.38</v>
      </c>
      <c r="I4" s="84">
        <f t="shared" ref="I4:I10" si="0">MIN(G4+H4,F4)</f>
        <v>18</v>
      </c>
      <c r="J4" s="307" t="s">
        <v>562</v>
      </c>
      <c r="K4" s="308"/>
      <c r="L4" s="309"/>
      <c r="M4" s="105" t="s">
        <v>633</v>
      </c>
      <c r="N4" s="109">
        <v>42671</v>
      </c>
    </row>
    <row r="5" spans="1:14" ht="45" customHeight="1" x14ac:dyDescent="0.25">
      <c r="A5" s="104">
        <v>3</v>
      </c>
      <c r="B5" s="104" t="s">
        <v>582</v>
      </c>
      <c r="C5" s="105" t="s">
        <v>583</v>
      </c>
      <c r="D5" s="105" t="s">
        <v>584</v>
      </c>
      <c r="E5" s="104" t="s">
        <v>585</v>
      </c>
      <c r="F5" s="107">
        <v>71840</v>
      </c>
      <c r="G5" s="108">
        <v>266.56</v>
      </c>
      <c r="H5" s="108">
        <f>SUM(859+19.6+26.91)</f>
        <v>905.51</v>
      </c>
      <c r="I5" s="84">
        <f t="shared" si="0"/>
        <v>1172.07</v>
      </c>
      <c r="J5" s="307" t="s">
        <v>562</v>
      </c>
      <c r="K5" s="308"/>
      <c r="L5" s="309"/>
      <c r="M5" s="105" t="s">
        <v>634</v>
      </c>
      <c r="N5" s="109">
        <v>42671</v>
      </c>
    </row>
    <row r="6" spans="1:14" ht="45" customHeight="1" x14ac:dyDescent="0.25">
      <c r="A6" s="104">
        <v>4</v>
      </c>
      <c r="B6" s="104" t="s">
        <v>599</v>
      </c>
      <c r="C6" s="105" t="s">
        <v>600</v>
      </c>
      <c r="D6" s="105" t="s">
        <v>601</v>
      </c>
      <c r="E6" s="105" t="s">
        <v>602</v>
      </c>
      <c r="F6" s="107">
        <v>6335</v>
      </c>
      <c r="G6" s="108">
        <v>3505.25</v>
      </c>
      <c r="H6" s="108">
        <f>SUM(1769.7+19.6+26.91)</f>
        <v>1816.21</v>
      </c>
      <c r="I6" s="84">
        <f t="shared" si="0"/>
        <v>5321.46</v>
      </c>
      <c r="J6" s="151">
        <v>1</v>
      </c>
      <c r="K6" s="110" t="s">
        <v>664</v>
      </c>
      <c r="L6" s="105" t="s">
        <v>120</v>
      </c>
      <c r="M6" s="105" t="s">
        <v>634</v>
      </c>
      <c r="N6" s="109">
        <v>42671</v>
      </c>
    </row>
    <row r="7" spans="1:14" ht="45" customHeight="1" x14ac:dyDescent="0.25">
      <c r="A7" s="104">
        <v>5</v>
      </c>
      <c r="B7" s="104" t="s">
        <v>615</v>
      </c>
      <c r="C7" s="105" t="s">
        <v>616</v>
      </c>
      <c r="D7" s="110" t="s">
        <v>617</v>
      </c>
      <c r="E7" s="108" t="s">
        <v>618</v>
      </c>
      <c r="F7" s="107">
        <v>8170</v>
      </c>
      <c r="G7" s="108">
        <v>465.25</v>
      </c>
      <c r="H7" s="108">
        <f>SUM(1490+19.6+26.91)</f>
        <v>1536.51</v>
      </c>
      <c r="I7" s="84">
        <f>MIN(G7+H7,F7)</f>
        <v>2001.76</v>
      </c>
      <c r="J7" s="151">
        <v>600</v>
      </c>
      <c r="K7" s="110" t="s">
        <v>662</v>
      </c>
      <c r="L7" s="105" t="s">
        <v>663</v>
      </c>
      <c r="M7" s="105" t="s">
        <v>634</v>
      </c>
      <c r="N7" s="109">
        <v>42671</v>
      </c>
    </row>
    <row r="8" spans="1:14" ht="45" customHeight="1" x14ac:dyDescent="0.25">
      <c r="A8" s="104">
        <v>6</v>
      </c>
      <c r="B8" s="104" t="s">
        <v>626</v>
      </c>
      <c r="C8" s="105" t="s">
        <v>616</v>
      </c>
      <c r="D8" s="110" t="s">
        <v>635</v>
      </c>
      <c r="E8" s="108" t="s">
        <v>628</v>
      </c>
      <c r="F8" s="107">
        <v>8040</v>
      </c>
      <c r="G8" s="108">
        <v>517.12</v>
      </c>
      <c r="H8" s="108">
        <f>SUM(1496+19.6+26.91)</f>
        <v>1542.51</v>
      </c>
      <c r="I8" s="84">
        <f t="shared" si="0"/>
        <v>2059.63</v>
      </c>
      <c r="J8" s="151">
        <v>200</v>
      </c>
      <c r="K8" s="110" t="s">
        <v>662</v>
      </c>
      <c r="L8" s="105" t="s">
        <v>663</v>
      </c>
      <c r="M8" s="105" t="s">
        <v>634</v>
      </c>
      <c r="N8" s="109">
        <v>42671</v>
      </c>
    </row>
    <row r="9" spans="1:14" ht="45" customHeight="1" x14ac:dyDescent="0.25">
      <c r="A9" s="104">
        <v>7</v>
      </c>
      <c r="B9" s="104" t="s">
        <v>623</v>
      </c>
      <c r="C9" s="105" t="s">
        <v>616</v>
      </c>
      <c r="D9" s="110" t="s">
        <v>624</v>
      </c>
      <c r="E9" s="108" t="s">
        <v>625</v>
      </c>
      <c r="F9" s="107">
        <v>660</v>
      </c>
      <c r="G9" s="108">
        <v>44.48</v>
      </c>
      <c r="H9" s="108">
        <f>SUM(1490+19.6+26.91)</f>
        <v>1536.51</v>
      </c>
      <c r="I9" s="84">
        <f t="shared" si="0"/>
        <v>660</v>
      </c>
      <c r="J9" s="151">
        <v>1</v>
      </c>
      <c r="K9" s="110" t="s">
        <v>662</v>
      </c>
      <c r="L9" s="105" t="s">
        <v>120</v>
      </c>
      <c r="M9" s="105" t="s">
        <v>634</v>
      </c>
      <c r="N9" s="109">
        <v>42671</v>
      </c>
    </row>
    <row r="10" spans="1:14" ht="45" customHeight="1" x14ac:dyDescent="0.25">
      <c r="A10" s="104">
        <v>8</v>
      </c>
      <c r="B10" s="104" t="s">
        <v>610</v>
      </c>
      <c r="C10" s="105" t="s">
        <v>611</v>
      </c>
      <c r="D10" s="110" t="s">
        <v>636</v>
      </c>
      <c r="E10" s="108" t="s">
        <v>637</v>
      </c>
      <c r="F10" s="107">
        <v>31920</v>
      </c>
      <c r="G10" s="108">
        <v>4036.25</v>
      </c>
      <c r="H10" s="108">
        <f>735.87+26.91</f>
        <v>762.78</v>
      </c>
      <c r="I10" s="84">
        <f t="shared" si="0"/>
        <v>4799.03</v>
      </c>
      <c r="J10" s="151">
        <v>100</v>
      </c>
      <c r="K10" s="110" t="s">
        <v>661</v>
      </c>
      <c r="L10" s="105" t="s">
        <v>525</v>
      </c>
      <c r="M10" s="105" t="s">
        <v>289</v>
      </c>
      <c r="N10" s="109">
        <v>42671</v>
      </c>
    </row>
    <row r="11" spans="1:14" ht="45" customHeight="1" x14ac:dyDescent="0.25">
      <c r="A11" s="104">
        <v>9</v>
      </c>
      <c r="B11" s="104" t="s">
        <v>613</v>
      </c>
      <c r="C11" s="105" t="s">
        <v>614</v>
      </c>
      <c r="D11" s="110" t="s">
        <v>638</v>
      </c>
      <c r="E11" s="108" t="s">
        <v>639</v>
      </c>
      <c r="F11" s="107">
        <v>525</v>
      </c>
      <c r="G11" s="108">
        <v>1356.35</v>
      </c>
      <c r="H11" s="108" t="s">
        <v>304</v>
      </c>
      <c r="I11" s="108" t="s">
        <v>304</v>
      </c>
      <c r="J11" s="307" t="s">
        <v>120</v>
      </c>
      <c r="K11" s="308"/>
      <c r="L11" s="309"/>
      <c r="M11" s="105" t="s">
        <v>640</v>
      </c>
      <c r="N11" s="105" t="s">
        <v>304</v>
      </c>
    </row>
    <row r="12" spans="1:14" ht="45" customHeight="1" x14ac:dyDescent="0.25">
      <c r="A12" s="104">
        <v>10</v>
      </c>
      <c r="B12" s="104" t="s">
        <v>641</v>
      </c>
      <c r="C12" s="105" t="s">
        <v>642</v>
      </c>
      <c r="D12" s="110" t="s">
        <v>643</v>
      </c>
      <c r="E12" s="107" t="s">
        <v>644</v>
      </c>
      <c r="F12" s="108" t="s">
        <v>304</v>
      </c>
      <c r="G12" s="108">
        <v>3302.05</v>
      </c>
      <c r="H12" s="108" t="s">
        <v>304</v>
      </c>
      <c r="I12" s="108" t="s">
        <v>304</v>
      </c>
      <c r="J12" s="307" t="s">
        <v>120</v>
      </c>
      <c r="K12" s="308"/>
      <c r="L12" s="309"/>
      <c r="M12" s="105" t="s">
        <v>289</v>
      </c>
      <c r="N12" s="105" t="s">
        <v>304</v>
      </c>
    </row>
    <row r="13" spans="1:14" ht="45" customHeight="1" x14ac:dyDescent="0.25">
      <c r="A13" s="104">
        <v>11</v>
      </c>
      <c r="B13" s="104" t="s">
        <v>646</v>
      </c>
      <c r="C13" s="105" t="s">
        <v>647</v>
      </c>
      <c r="D13" s="110" t="s">
        <v>648</v>
      </c>
      <c r="E13" s="107" t="s">
        <v>649</v>
      </c>
      <c r="F13" s="107">
        <v>327480</v>
      </c>
      <c r="G13" s="108">
        <v>28671.66</v>
      </c>
      <c r="H13" s="108" t="s">
        <v>304</v>
      </c>
      <c r="I13" s="108" t="s">
        <v>304</v>
      </c>
      <c r="J13" s="307" t="s">
        <v>120</v>
      </c>
      <c r="K13" s="308"/>
      <c r="L13" s="309"/>
      <c r="M13" s="105" t="s">
        <v>289</v>
      </c>
      <c r="N13" s="105" t="s">
        <v>304</v>
      </c>
    </row>
    <row r="14" spans="1:14" ht="45" customHeight="1" x14ac:dyDescent="0.25">
      <c r="A14" s="104">
        <v>12</v>
      </c>
      <c r="B14" s="104" t="s">
        <v>107</v>
      </c>
      <c r="C14" s="105" t="s">
        <v>650</v>
      </c>
      <c r="D14" s="110" t="s">
        <v>651</v>
      </c>
      <c r="E14" s="107" t="s">
        <v>652</v>
      </c>
      <c r="F14" s="107">
        <v>41340</v>
      </c>
      <c r="G14" s="108">
        <v>2466.6999999999998</v>
      </c>
      <c r="H14" s="108" t="s">
        <v>304</v>
      </c>
      <c r="I14" s="108" t="s">
        <v>304</v>
      </c>
      <c r="J14" s="307" t="s">
        <v>120</v>
      </c>
      <c r="K14" s="308"/>
      <c r="L14" s="309"/>
      <c r="M14" s="105" t="s">
        <v>640</v>
      </c>
      <c r="N14" s="105" t="s">
        <v>304</v>
      </c>
    </row>
    <row r="15" spans="1:14" ht="45" customHeight="1" x14ac:dyDescent="0.25">
      <c r="A15" s="104">
        <v>13</v>
      </c>
      <c r="B15" s="104" t="s">
        <v>653</v>
      </c>
      <c r="C15" s="105" t="s">
        <v>654</v>
      </c>
      <c r="D15" s="110" t="s">
        <v>655</v>
      </c>
      <c r="E15" s="107" t="s">
        <v>656</v>
      </c>
      <c r="F15" s="107">
        <v>30280</v>
      </c>
      <c r="G15" s="108">
        <v>2668.74</v>
      </c>
      <c r="H15" s="108" t="s">
        <v>304</v>
      </c>
      <c r="I15" s="108" t="s">
        <v>304</v>
      </c>
      <c r="J15" s="307" t="s">
        <v>120</v>
      </c>
      <c r="K15" s="308"/>
      <c r="L15" s="309"/>
      <c r="M15" s="105" t="s">
        <v>640</v>
      </c>
      <c r="N15" s="105" t="s">
        <v>304</v>
      </c>
    </row>
    <row r="16" spans="1:14" ht="45" customHeight="1" x14ac:dyDescent="0.25">
      <c r="A16" s="104">
        <v>14</v>
      </c>
      <c r="B16" s="104" t="s">
        <v>657</v>
      </c>
      <c r="C16" s="105" t="s">
        <v>658</v>
      </c>
      <c r="D16" s="110" t="s">
        <v>659</v>
      </c>
      <c r="E16" s="107" t="s">
        <v>660</v>
      </c>
      <c r="F16" s="107">
        <v>4960</v>
      </c>
      <c r="G16" s="108">
        <v>619.89</v>
      </c>
      <c r="H16" s="108" t="s">
        <v>304</v>
      </c>
      <c r="I16" s="108" t="s">
        <v>304</v>
      </c>
      <c r="J16" s="307" t="s">
        <v>120</v>
      </c>
      <c r="K16" s="308"/>
      <c r="L16" s="309"/>
      <c r="M16" s="105" t="s">
        <v>640</v>
      </c>
      <c r="N16" s="105" t="s">
        <v>304</v>
      </c>
    </row>
    <row r="17" spans="1:15" s="115" customFormat="1" ht="12.75" x14ac:dyDescent="0.25">
      <c r="A17" s="316" t="s">
        <v>645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8"/>
    </row>
    <row r="18" spans="1:15" s="115" customFormat="1" ht="15" x14ac:dyDescent="0.25">
      <c r="A18" s="319"/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116"/>
    </row>
    <row r="19" spans="1:15" s="115" customFormat="1" ht="42" customHeight="1" x14ac:dyDescent="0.25">
      <c r="A19" s="117"/>
      <c r="B19" s="126"/>
      <c r="C19" s="117"/>
      <c r="D19" s="117"/>
      <c r="E19" s="117"/>
      <c r="F19" s="118"/>
      <c r="G19" s="119"/>
      <c r="H19" s="120"/>
      <c r="I19" s="119"/>
      <c r="J19" s="152"/>
      <c r="K19" s="117"/>
      <c r="L19" s="117"/>
      <c r="M19" s="117"/>
      <c r="N19" s="117"/>
    </row>
    <row r="20" spans="1:15" s="115" customFormat="1" ht="15" x14ac:dyDescent="0.25">
      <c r="C20" s="125"/>
      <c r="D20" s="125"/>
      <c r="E20" s="125"/>
      <c r="F20" s="121"/>
      <c r="G20" s="122"/>
      <c r="H20" s="122"/>
      <c r="I20" s="123"/>
      <c r="J20" s="153"/>
      <c r="K20" s="122"/>
      <c r="L20" s="125"/>
      <c r="M20" s="125"/>
      <c r="N20" s="124"/>
    </row>
    <row r="21" spans="1:15" s="115" customFormat="1" ht="15" x14ac:dyDescent="0.25">
      <c r="C21" s="125"/>
      <c r="D21" s="125"/>
      <c r="E21" s="125"/>
      <c r="F21" s="121"/>
      <c r="G21" s="122"/>
      <c r="H21" s="122"/>
      <c r="I21" s="123"/>
      <c r="J21" s="153"/>
      <c r="K21" s="122"/>
      <c r="L21" s="125"/>
      <c r="M21" s="125"/>
      <c r="N21" s="124"/>
    </row>
    <row r="22" spans="1:15" s="115" customFormat="1" ht="42" customHeight="1" x14ac:dyDescent="0.25">
      <c r="C22" s="125"/>
      <c r="D22" s="125"/>
      <c r="F22" s="121"/>
      <c r="G22" s="122"/>
      <c r="H22" s="122"/>
      <c r="I22" s="122"/>
      <c r="J22" s="153"/>
    </row>
    <row r="23" spans="1:15" s="115" customFormat="1" ht="42" customHeight="1" x14ac:dyDescent="0.25">
      <c r="C23" s="125"/>
      <c r="D23" s="125"/>
      <c r="F23" s="121"/>
      <c r="G23" s="122"/>
      <c r="H23" s="122"/>
      <c r="I23" s="122"/>
      <c r="J23" s="153"/>
    </row>
    <row r="24" spans="1:15" s="115" customFormat="1" ht="42" customHeight="1" x14ac:dyDescent="0.25">
      <c r="C24" s="125"/>
      <c r="D24" s="125"/>
      <c r="F24" s="121"/>
      <c r="G24" s="122"/>
      <c r="H24" s="122"/>
      <c r="I24" s="123"/>
      <c r="J24" s="314"/>
      <c r="K24" s="314"/>
      <c r="L24" s="314"/>
      <c r="M24" s="125"/>
      <c r="N24" s="124"/>
    </row>
    <row r="25" spans="1:15" s="115" customFormat="1" ht="42" customHeight="1" x14ac:dyDescent="0.25">
      <c r="C25" s="125"/>
      <c r="D25" s="125"/>
      <c r="E25" s="125"/>
      <c r="F25" s="121"/>
      <c r="G25" s="122"/>
      <c r="H25" s="122"/>
      <c r="I25" s="123"/>
      <c r="J25" s="314"/>
      <c r="K25" s="314"/>
      <c r="L25" s="314"/>
      <c r="M25" s="125"/>
      <c r="N25" s="124"/>
    </row>
    <row r="26" spans="1:15" s="115" customFormat="1" ht="42" customHeight="1" x14ac:dyDescent="0.25">
      <c r="C26" s="125"/>
      <c r="D26" s="125"/>
      <c r="E26" s="125"/>
      <c r="F26" s="121"/>
      <c r="G26" s="122"/>
      <c r="H26" s="122"/>
      <c r="I26" s="123"/>
      <c r="J26" s="314"/>
      <c r="K26" s="314"/>
      <c r="L26" s="314"/>
      <c r="M26" s="125"/>
      <c r="N26" s="124"/>
    </row>
    <row r="27" spans="1:15" ht="42" customHeight="1" x14ac:dyDescent="0.25">
      <c r="A27" s="115"/>
      <c r="B27" s="115"/>
      <c r="C27" s="125"/>
      <c r="D27" s="125"/>
      <c r="E27" s="115"/>
      <c r="F27" s="121"/>
      <c r="G27" s="122"/>
      <c r="H27" s="122"/>
      <c r="I27" s="122"/>
      <c r="J27" s="153"/>
      <c r="K27" s="115"/>
      <c r="L27" s="115"/>
      <c r="M27" s="115"/>
      <c r="N27" s="115"/>
      <c r="O27" s="115"/>
    </row>
    <row r="28" spans="1:15" x14ac:dyDescent="0.25">
      <c r="A28" s="315"/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115"/>
    </row>
    <row r="29" spans="1:15" ht="42" customHeight="1" x14ac:dyDescent="0.25">
      <c r="A29" s="115"/>
      <c r="B29" s="115"/>
      <c r="C29" s="115"/>
      <c r="D29" s="115"/>
      <c r="E29" s="115"/>
      <c r="F29" s="115"/>
      <c r="G29" s="115"/>
      <c r="H29" s="115"/>
      <c r="I29" s="115"/>
      <c r="J29" s="153"/>
      <c r="K29" s="115"/>
      <c r="L29" s="115"/>
      <c r="M29" s="115"/>
      <c r="N29" s="115"/>
      <c r="O29" s="115"/>
    </row>
    <row r="30" spans="1:15" ht="42" customHeight="1" x14ac:dyDescent="0.25">
      <c r="C30" s="103"/>
      <c r="D30" s="103"/>
      <c r="F30" s="103"/>
      <c r="G30" s="103"/>
      <c r="I30" s="103"/>
    </row>
    <row r="31" spans="1:15" ht="42" customHeight="1" x14ac:dyDescent="0.25">
      <c r="C31" s="103"/>
      <c r="D31" s="103"/>
      <c r="F31" s="103"/>
      <c r="G31" s="103"/>
      <c r="H31" s="103"/>
      <c r="I31" s="103"/>
    </row>
    <row r="32" spans="1:15" ht="42" customHeight="1" x14ac:dyDescent="0.25">
      <c r="C32" s="103"/>
      <c r="D32" s="103"/>
      <c r="F32" s="103"/>
      <c r="G32" s="103"/>
      <c r="H32" s="103"/>
      <c r="I32" s="103"/>
    </row>
    <row r="33" spans="3:9" ht="42" customHeight="1" x14ac:dyDescent="0.25">
      <c r="C33" s="103"/>
      <c r="D33" s="103"/>
      <c r="F33" s="103"/>
      <c r="G33" s="103"/>
      <c r="H33" s="103"/>
      <c r="I33" s="103"/>
    </row>
    <row r="34" spans="3:9" ht="42" customHeight="1" x14ac:dyDescent="0.25">
      <c r="C34" s="103"/>
      <c r="D34" s="103"/>
      <c r="F34" s="103"/>
      <c r="G34" s="103"/>
      <c r="H34" s="103"/>
      <c r="I34" s="103"/>
    </row>
    <row r="35" spans="3:9" ht="42" customHeight="1" x14ac:dyDescent="0.25">
      <c r="C35" s="103"/>
      <c r="D35" s="103"/>
      <c r="F35" s="103"/>
      <c r="G35" s="103"/>
      <c r="H35" s="103"/>
      <c r="I35" s="103"/>
    </row>
    <row r="36" spans="3:9" ht="42" customHeight="1" x14ac:dyDescent="0.25">
      <c r="C36" s="103"/>
      <c r="D36" s="103"/>
      <c r="F36" s="103"/>
      <c r="G36" s="103"/>
      <c r="H36" s="103"/>
      <c r="I36" s="103"/>
    </row>
    <row r="37" spans="3:9" ht="42" customHeight="1" x14ac:dyDescent="0.25">
      <c r="C37" s="103"/>
      <c r="D37" s="103"/>
      <c r="F37" s="103"/>
      <c r="G37" s="103"/>
      <c r="H37" s="103"/>
      <c r="I37" s="103"/>
    </row>
    <row r="38" spans="3:9" ht="42" customHeight="1" x14ac:dyDescent="0.25">
      <c r="C38" s="103"/>
      <c r="D38" s="103"/>
      <c r="F38" s="103"/>
      <c r="G38" s="103"/>
      <c r="H38" s="103"/>
      <c r="I38" s="103"/>
    </row>
    <row r="39" spans="3:9" ht="42" customHeight="1" x14ac:dyDescent="0.25">
      <c r="C39" s="103"/>
      <c r="D39" s="103"/>
      <c r="F39" s="103"/>
      <c r="G39" s="103"/>
      <c r="H39" s="103"/>
      <c r="I39" s="103"/>
    </row>
    <row r="40" spans="3:9" ht="42" customHeight="1" x14ac:dyDescent="0.25">
      <c r="C40" s="103"/>
      <c r="D40" s="103"/>
      <c r="F40" s="103"/>
      <c r="G40" s="103"/>
      <c r="H40" s="103"/>
      <c r="I40" s="103"/>
    </row>
    <row r="41" spans="3:9" ht="42" customHeight="1" x14ac:dyDescent="0.25">
      <c r="C41" s="103"/>
      <c r="D41" s="103"/>
      <c r="F41" s="103"/>
      <c r="G41" s="103"/>
      <c r="H41" s="103"/>
      <c r="I41" s="103"/>
    </row>
    <row r="42" spans="3:9" ht="42" customHeight="1" x14ac:dyDescent="0.25">
      <c r="C42" s="103"/>
      <c r="D42" s="103"/>
      <c r="F42" s="103"/>
      <c r="G42" s="103"/>
      <c r="H42" s="103"/>
      <c r="I42" s="103"/>
    </row>
    <row r="43" spans="3:9" ht="42" customHeight="1" x14ac:dyDescent="0.25">
      <c r="C43" s="103"/>
      <c r="D43" s="103"/>
      <c r="F43" s="103"/>
      <c r="G43" s="103"/>
      <c r="H43" s="103"/>
      <c r="I43" s="103"/>
    </row>
    <row r="44" spans="3:9" ht="42" customHeight="1" x14ac:dyDescent="0.25">
      <c r="C44" s="103"/>
      <c r="D44" s="103"/>
      <c r="F44" s="103"/>
      <c r="G44" s="103"/>
      <c r="H44" s="103"/>
      <c r="I44" s="103"/>
    </row>
    <row r="45" spans="3:9" ht="42" customHeight="1" x14ac:dyDescent="0.25">
      <c r="C45" s="103"/>
      <c r="D45" s="103"/>
      <c r="F45" s="103"/>
      <c r="G45" s="103"/>
      <c r="H45" s="103"/>
      <c r="I45" s="103"/>
    </row>
    <row r="46" spans="3:9" ht="42" customHeight="1" x14ac:dyDescent="0.25">
      <c r="C46" s="103"/>
      <c r="D46" s="103"/>
      <c r="F46" s="103"/>
      <c r="G46" s="103"/>
      <c r="H46" s="103"/>
      <c r="I46" s="103"/>
    </row>
    <row r="47" spans="3:9" ht="42" customHeight="1" x14ac:dyDescent="0.25">
      <c r="C47" s="103"/>
      <c r="D47" s="103"/>
      <c r="F47" s="103"/>
      <c r="G47" s="103"/>
      <c r="H47" s="103"/>
      <c r="I47" s="103"/>
    </row>
    <row r="48" spans="3:9" ht="42" customHeight="1" x14ac:dyDescent="0.25">
      <c r="C48" s="103"/>
      <c r="D48" s="103"/>
      <c r="F48" s="103"/>
      <c r="G48" s="103"/>
      <c r="H48" s="103"/>
      <c r="I48" s="103"/>
    </row>
    <row r="49" spans="3:9" ht="42" customHeight="1" x14ac:dyDescent="0.25">
      <c r="C49" s="103"/>
      <c r="D49" s="103"/>
      <c r="F49" s="103"/>
      <c r="G49" s="103"/>
      <c r="H49" s="103"/>
      <c r="I49" s="103"/>
    </row>
    <row r="50" spans="3:9" ht="42" customHeight="1" x14ac:dyDescent="0.25">
      <c r="C50" s="103"/>
      <c r="D50" s="103"/>
      <c r="F50" s="103"/>
      <c r="G50" s="103"/>
      <c r="H50" s="103"/>
      <c r="I50" s="103"/>
    </row>
    <row r="51" spans="3:9" ht="42" customHeight="1" x14ac:dyDescent="0.25">
      <c r="C51" s="103"/>
      <c r="D51" s="103"/>
      <c r="F51" s="103"/>
      <c r="G51" s="103"/>
      <c r="H51" s="103"/>
      <c r="I51" s="103"/>
    </row>
    <row r="52" spans="3:9" ht="42" customHeight="1" x14ac:dyDescent="0.25">
      <c r="C52" s="103"/>
      <c r="D52" s="103"/>
      <c r="F52" s="103"/>
      <c r="G52" s="103"/>
      <c r="H52" s="103"/>
      <c r="I52" s="103"/>
    </row>
    <row r="53" spans="3:9" ht="42" customHeight="1" x14ac:dyDescent="0.25">
      <c r="C53" s="103"/>
      <c r="D53" s="103"/>
      <c r="F53" s="103"/>
      <c r="G53" s="103"/>
      <c r="H53" s="103"/>
      <c r="I53" s="103"/>
    </row>
    <row r="54" spans="3:9" ht="42" customHeight="1" x14ac:dyDescent="0.25">
      <c r="C54" s="103"/>
      <c r="D54" s="103"/>
      <c r="F54" s="103"/>
      <c r="G54" s="103"/>
      <c r="H54" s="103"/>
      <c r="I54" s="103"/>
    </row>
    <row r="55" spans="3:9" ht="42" customHeight="1" x14ac:dyDescent="0.25">
      <c r="C55" s="103"/>
      <c r="D55" s="103"/>
      <c r="F55" s="103"/>
      <c r="G55" s="103"/>
      <c r="H55" s="103"/>
      <c r="I55" s="103"/>
    </row>
    <row r="56" spans="3:9" ht="42" customHeight="1" x14ac:dyDescent="0.25">
      <c r="C56" s="103"/>
      <c r="D56" s="103"/>
      <c r="F56" s="103"/>
      <c r="G56" s="103"/>
      <c r="H56" s="103"/>
      <c r="I56" s="103"/>
    </row>
    <row r="57" spans="3:9" ht="42" customHeight="1" x14ac:dyDescent="0.25">
      <c r="C57" s="103"/>
      <c r="D57" s="103"/>
      <c r="F57" s="103"/>
      <c r="G57" s="103"/>
      <c r="H57" s="103"/>
      <c r="I57" s="103"/>
    </row>
    <row r="58" spans="3:9" ht="42" customHeight="1" x14ac:dyDescent="0.25">
      <c r="C58" s="103"/>
      <c r="D58" s="103"/>
      <c r="F58" s="103"/>
      <c r="G58" s="103"/>
      <c r="H58" s="103"/>
      <c r="I58" s="103"/>
    </row>
    <row r="59" spans="3:9" ht="42" customHeight="1" x14ac:dyDescent="0.25">
      <c r="C59" s="103"/>
      <c r="D59" s="103"/>
      <c r="F59" s="103"/>
      <c r="G59" s="103"/>
      <c r="H59" s="103"/>
      <c r="I59" s="103"/>
    </row>
    <row r="60" spans="3:9" ht="42" customHeight="1" x14ac:dyDescent="0.25">
      <c r="C60" s="103"/>
      <c r="D60" s="103"/>
      <c r="F60" s="103"/>
      <c r="G60" s="103"/>
      <c r="H60" s="103"/>
      <c r="I60" s="103"/>
    </row>
    <row r="61" spans="3:9" ht="42" customHeight="1" x14ac:dyDescent="0.25">
      <c r="C61" s="103"/>
      <c r="D61" s="103"/>
      <c r="F61" s="103"/>
      <c r="G61" s="103"/>
      <c r="H61" s="103"/>
      <c r="I61" s="103"/>
    </row>
    <row r="62" spans="3:9" ht="42" customHeight="1" x14ac:dyDescent="0.25">
      <c r="C62" s="103"/>
      <c r="D62" s="103"/>
      <c r="F62" s="103"/>
      <c r="G62" s="103"/>
      <c r="H62" s="103"/>
      <c r="I62" s="103"/>
    </row>
    <row r="63" spans="3:9" ht="42" customHeight="1" x14ac:dyDescent="0.25">
      <c r="C63" s="103"/>
      <c r="D63" s="103"/>
      <c r="F63" s="103"/>
      <c r="G63" s="103"/>
      <c r="H63" s="103"/>
      <c r="I63" s="103"/>
    </row>
    <row r="64" spans="3:9" ht="42" customHeight="1" x14ac:dyDescent="0.25">
      <c r="C64" s="103"/>
      <c r="D64" s="103"/>
      <c r="F64" s="103"/>
      <c r="G64" s="103"/>
      <c r="H64" s="103"/>
      <c r="I64" s="103"/>
    </row>
    <row r="65" spans="3:9" ht="42" customHeight="1" x14ac:dyDescent="0.25">
      <c r="C65" s="103"/>
      <c r="D65" s="103"/>
      <c r="F65" s="103"/>
      <c r="G65" s="103"/>
      <c r="H65" s="103"/>
      <c r="I65" s="103"/>
    </row>
    <row r="66" spans="3:9" ht="42" customHeight="1" x14ac:dyDescent="0.25">
      <c r="C66" s="103"/>
      <c r="D66" s="103"/>
      <c r="F66" s="103"/>
      <c r="G66" s="103"/>
      <c r="H66" s="103"/>
      <c r="I66" s="103"/>
    </row>
    <row r="67" spans="3:9" ht="42" customHeight="1" x14ac:dyDescent="0.25">
      <c r="C67" s="103"/>
      <c r="D67" s="103"/>
      <c r="F67" s="103"/>
      <c r="G67" s="103"/>
      <c r="H67" s="103"/>
      <c r="I67" s="103"/>
    </row>
    <row r="68" spans="3:9" ht="42" customHeight="1" x14ac:dyDescent="0.25">
      <c r="C68" s="103"/>
      <c r="D68" s="103"/>
      <c r="F68" s="103"/>
      <c r="G68" s="103"/>
      <c r="H68" s="103"/>
      <c r="I68" s="103"/>
    </row>
    <row r="69" spans="3:9" ht="42" customHeight="1" x14ac:dyDescent="0.25">
      <c r="C69" s="103"/>
      <c r="D69" s="103"/>
      <c r="F69" s="103"/>
      <c r="G69" s="103"/>
      <c r="H69" s="103"/>
      <c r="I69" s="103"/>
    </row>
    <row r="70" spans="3:9" ht="42" customHeight="1" x14ac:dyDescent="0.25">
      <c r="C70" s="103"/>
      <c r="D70" s="103"/>
      <c r="F70" s="103"/>
      <c r="G70" s="103"/>
      <c r="H70" s="103"/>
      <c r="I70" s="103"/>
    </row>
    <row r="71" spans="3:9" ht="42" customHeight="1" x14ac:dyDescent="0.25">
      <c r="C71" s="103"/>
      <c r="D71" s="103"/>
      <c r="F71" s="103"/>
      <c r="G71" s="103"/>
      <c r="H71" s="103"/>
      <c r="I71" s="103"/>
    </row>
    <row r="72" spans="3:9" ht="42" customHeight="1" x14ac:dyDescent="0.25">
      <c r="C72" s="103"/>
      <c r="D72" s="103"/>
      <c r="F72" s="103"/>
      <c r="G72" s="103"/>
      <c r="H72" s="103"/>
      <c r="I72" s="103"/>
    </row>
    <row r="73" spans="3:9" ht="42" customHeight="1" x14ac:dyDescent="0.25">
      <c r="C73" s="103"/>
      <c r="D73" s="103"/>
      <c r="F73" s="103"/>
      <c r="G73" s="103"/>
      <c r="H73" s="103"/>
      <c r="I73" s="103"/>
    </row>
    <row r="74" spans="3:9" ht="42" customHeight="1" x14ac:dyDescent="0.25">
      <c r="C74" s="103"/>
      <c r="D74" s="103"/>
      <c r="F74" s="103"/>
      <c r="G74" s="103"/>
      <c r="H74" s="103"/>
      <c r="I74" s="103"/>
    </row>
    <row r="75" spans="3:9" ht="42" customHeight="1" x14ac:dyDescent="0.25">
      <c r="C75" s="103"/>
      <c r="D75" s="103"/>
      <c r="F75" s="103"/>
      <c r="G75" s="103"/>
      <c r="H75" s="103"/>
      <c r="I75" s="103"/>
    </row>
    <row r="76" spans="3:9" ht="42" customHeight="1" x14ac:dyDescent="0.25">
      <c r="C76" s="103"/>
      <c r="D76" s="103"/>
      <c r="F76" s="103"/>
      <c r="G76" s="103"/>
      <c r="H76" s="103"/>
      <c r="I76" s="103"/>
    </row>
    <row r="77" spans="3:9" ht="42" customHeight="1" x14ac:dyDescent="0.25">
      <c r="C77" s="103"/>
      <c r="D77" s="103"/>
      <c r="F77" s="103"/>
      <c r="G77" s="103"/>
      <c r="H77" s="103"/>
      <c r="I77" s="103"/>
    </row>
    <row r="78" spans="3:9" ht="42" customHeight="1" x14ac:dyDescent="0.25">
      <c r="C78" s="103"/>
      <c r="D78" s="103"/>
      <c r="F78" s="103"/>
      <c r="G78" s="103"/>
      <c r="H78" s="103"/>
      <c r="I78" s="103"/>
    </row>
    <row r="79" spans="3:9" ht="42" customHeight="1" x14ac:dyDescent="0.25">
      <c r="C79" s="103"/>
      <c r="D79" s="103"/>
      <c r="F79" s="103"/>
      <c r="G79" s="103"/>
      <c r="H79" s="103"/>
      <c r="I79" s="103"/>
    </row>
    <row r="80" spans="3:9" ht="42" customHeight="1" x14ac:dyDescent="0.25">
      <c r="C80" s="103"/>
      <c r="D80" s="103"/>
      <c r="F80" s="103"/>
      <c r="G80" s="103"/>
      <c r="H80" s="103"/>
      <c r="I80" s="103"/>
    </row>
    <row r="81" spans="3:9" ht="42" customHeight="1" x14ac:dyDescent="0.25">
      <c r="C81" s="103"/>
      <c r="D81" s="103"/>
      <c r="F81" s="103"/>
      <c r="G81" s="103"/>
      <c r="H81" s="103"/>
      <c r="I81" s="103"/>
    </row>
    <row r="82" spans="3:9" ht="42" customHeight="1" x14ac:dyDescent="0.25">
      <c r="C82" s="103"/>
      <c r="D82" s="103"/>
      <c r="F82" s="103"/>
      <c r="G82" s="103"/>
      <c r="H82" s="103"/>
      <c r="I82" s="103"/>
    </row>
    <row r="83" spans="3:9" ht="42" customHeight="1" x14ac:dyDescent="0.25">
      <c r="C83" s="103"/>
      <c r="D83" s="103"/>
      <c r="F83" s="103"/>
      <c r="G83" s="103"/>
      <c r="H83" s="103"/>
      <c r="I83" s="103"/>
    </row>
    <row r="84" spans="3:9" ht="42" customHeight="1" x14ac:dyDescent="0.25">
      <c r="C84" s="103"/>
      <c r="D84" s="103"/>
      <c r="F84" s="103"/>
      <c r="G84" s="103"/>
      <c r="H84" s="103"/>
      <c r="I84" s="103"/>
    </row>
    <row r="85" spans="3:9" ht="42" customHeight="1" x14ac:dyDescent="0.25">
      <c r="C85" s="103"/>
      <c r="D85" s="103"/>
      <c r="F85" s="103"/>
      <c r="G85" s="103"/>
      <c r="H85" s="103"/>
      <c r="I85" s="103"/>
    </row>
    <row r="86" spans="3:9" ht="42" customHeight="1" x14ac:dyDescent="0.25">
      <c r="C86" s="103"/>
      <c r="D86" s="103"/>
      <c r="F86" s="103"/>
      <c r="G86" s="103"/>
      <c r="H86" s="103"/>
      <c r="I86" s="103"/>
    </row>
    <row r="87" spans="3:9" ht="42" customHeight="1" x14ac:dyDescent="0.25">
      <c r="C87" s="103"/>
      <c r="D87" s="103"/>
      <c r="F87" s="103"/>
      <c r="G87" s="103"/>
      <c r="H87" s="103"/>
      <c r="I87" s="103"/>
    </row>
    <row r="88" spans="3:9" ht="42" customHeight="1" x14ac:dyDescent="0.25">
      <c r="C88" s="103"/>
      <c r="D88" s="103"/>
      <c r="F88" s="103"/>
      <c r="G88" s="103"/>
      <c r="H88" s="103"/>
      <c r="I88" s="103"/>
    </row>
    <row r="89" spans="3:9" ht="42" customHeight="1" x14ac:dyDescent="0.25">
      <c r="C89" s="103"/>
      <c r="D89" s="103"/>
      <c r="F89" s="103"/>
      <c r="G89" s="103"/>
      <c r="H89" s="103"/>
      <c r="I89" s="103"/>
    </row>
    <row r="90" spans="3:9" ht="42" customHeight="1" x14ac:dyDescent="0.25">
      <c r="C90" s="103"/>
      <c r="D90" s="103"/>
      <c r="F90" s="103"/>
      <c r="G90" s="103"/>
      <c r="H90" s="103"/>
      <c r="I90" s="103"/>
    </row>
    <row r="91" spans="3:9" ht="42" customHeight="1" x14ac:dyDescent="0.25">
      <c r="C91" s="103"/>
      <c r="D91" s="103"/>
      <c r="F91" s="103"/>
      <c r="G91" s="103"/>
      <c r="H91" s="103"/>
      <c r="I91" s="103"/>
    </row>
    <row r="92" spans="3:9" ht="42" customHeight="1" x14ac:dyDescent="0.25">
      <c r="C92" s="103"/>
      <c r="D92" s="103"/>
      <c r="F92" s="103"/>
      <c r="G92" s="103"/>
      <c r="H92" s="103"/>
      <c r="I92" s="103"/>
    </row>
    <row r="93" spans="3:9" ht="42" customHeight="1" x14ac:dyDescent="0.25">
      <c r="C93" s="103"/>
      <c r="D93" s="103"/>
      <c r="F93" s="103"/>
      <c r="G93" s="103"/>
      <c r="H93" s="103"/>
      <c r="I93" s="103"/>
    </row>
    <row r="94" spans="3:9" ht="42" customHeight="1" x14ac:dyDescent="0.25">
      <c r="C94" s="103"/>
      <c r="D94" s="103"/>
      <c r="F94" s="103"/>
      <c r="G94" s="103"/>
      <c r="H94" s="103"/>
      <c r="I94" s="103"/>
    </row>
    <row r="95" spans="3:9" ht="42" customHeight="1" x14ac:dyDescent="0.25">
      <c r="C95" s="103"/>
      <c r="D95" s="103"/>
      <c r="F95" s="103"/>
      <c r="G95" s="103"/>
      <c r="H95" s="103"/>
      <c r="I95" s="103"/>
    </row>
    <row r="96" spans="3:9" ht="42" customHeight="1" x14ac:dyDescent="0.25">
      <c r="C96" s="103"/>
      <c r="D96" s="103"/>
      <c r="F96" s="103"/>
      <c r="G96" s="103"/>
      <c r="H96" s="103"/>
      <c r="I96" s="103"/>
    </row>
    <row r="97" spans="3:9" ht="42" customHeight="1" x14ac:dyDescent="0.25">
      <c r="C97" s="103"/>
      <c r="D97" s="103"/>
      <c r="F97" s="103"/>
      <c r="G97" s="103"/>
      <c r="H97" s="103"/>
      <c r="I97" s="103"/>
    </row>
    <row r="98" spans="3:9" ht="42" customHeight="1" x14ac:dyDescent="0.25">
      <c r="C98" s="103"/>
      <c r="D98" s="103"/>
      <c r="F98" s="103"/>
      <c r="G98" s="103"/>
      <c r="H98" s="103"/>
      <c r="I98" s="103"/>
    </row>
    <row r="99" spans="3:9" ht="42" customHeight="1" x14ac:dyDescent="0.25">
      <c r="C99" s="103"/>
      <c r="D99" s="103"/>
      <c r="F99" s="103"/>
      <c r="G99" s="103"/>
      <c r="H99" s="103"/>
      <c r="I99" s="103"/>
    </row>
    <row r="100" spans="3:9" ht="42" customHeight="1" x14ac:dyDescent="0.25">
      <c r="C100" s="103"/>
      <c r="D100" s="103"/>
      <c r="F100" s="103"/>
      <c r="G100" s="103"/>
      <c r="H100" s="103"/>
      <c r="I100" s="103"/>
    </row>
    <row r="101" spans="3:9" ht="42" customHeight="1" x14ac:dyDescent="0.25">
      <c r="C101" s="103"/>
      <c r="D101" s="103"/>
      <c r="F101" s="103"/>
      <c r="G101" s="103"/>
      <c r="H101" s="103"/>
      <c r="I101" s="103"/>
    </row>
    <row r="102" spans="3:9" ht="42" customHeight="1" x14ac:dyDescent="0.25">
      <c r="C102" s="103"/>
      <c r="D102" s="103"/>
      <c r="F102" s="103"/>
      <c r="G102" s="103"/>
      <c r="H102" s="103"/>
      <c r="I102" s="103"/>
    </row>
    <row r="103" spans="3:9" ht="42" customHeight="1" x14ac:dyDescent="0.25">
      <c r="C103" s="103"/>
      <c r="D103" s="103"/>
      <c r="F103" s="103"/>
      <c r="G103" s="103"/>
      <c r="H103" s="103"/>
      <c r="I103" s="103"/>
    </row>
    <row r="104" spans="3:9" ht="42" customHeight="1" x14ac:dyDescent="0.25">
      <c r="C104" s="103"/>
      <c r="D104" s="103"/>
      <c r="F104" s="103"/>
      <c r="G104" s="103"/>
      <c r="H104" s="103"/>
      <c r="I104" s="103"/>
    </row>
    <row r="105" spans="3:9" ht="42" customHeight="1" x14ac:dyDescent="0.25">
      <c r="C105" s="103"/>
      <c r="D105" s="103"/>
      <c r="F105" s="103"/>
      <c r="G105" s="103"/>
      <c r="H105" s="103"/>
      <c r="I105" s="103"/>
    </row>
    <row r="106" spans="3:9" ht="42" customHeight="1" x14ac:dyDescent="0.25">
      <c r="C106" s="103"/>
      <c r="D106" s="103"/>
      <c r="F106" s="103"/>
      <c r="G106" s="103"/>
      <c r="H106" s="103"/>
      <c r="I106" s="103"/>
    </row>
    <row r="107" spans="3:9" ht="42" customHeight="1" x14ac:dyDescent="0.25">
      <c r="C107" s="103"/>
      <c r="D107" s="103"/>
      <c r="F107" s="103"/>
      <c r="G107" s="103"/>
      <c r="H107" s="103"/>
      <c r="I107" s="103"/>
    </row>
    <row r="108" spans="3:9" ht="42" customHeight="1" x14ac:dyDescent="0.25">
      <c r="C108" s="103"/>
      <c r="D108" s="103"/>
      <c r="F108" s="103"/>
      <c r="G108" s="103"/>
      <c r="H108" s="103"/>
      <c r="I108" s="103"/>
    </row>
    <row r="109" spans="3:9" ht="42" customHeight="1" x14ac:dyDescent="0.25">
      <c r="C109" s="103"/>
      <c r="D109" s="103"/>
      <c r="F109" s="103"/>
      <c r="G109" s="103"/>
      <c r="H109" s="103"/>
      <c r="I109" s="103"/>
    </row>
    <row r="110" spans="3:9" ht="42" customHeight="1" x14ac:dyDescent="0.25">
      <c r="C110" s="103"/>
      <c r="D110" s="103"/>
      <c r="F110" s="103"/>
      <c r="G110" s="103"/>
      <c r="H110" s="103"/>
      <c r="I110" s="103"/>
    </row>
    <row r="111" spans="3:9" ht="42" customHeight="1" x14ac:dyDescent="0.25">
      <c r="C111" s="103"/>
      <c r="D111" s="103"/>
      <c r="F111" s="103"/>
      <c r="G111" s="103"/>
      <c r="H111" s="103"/>
      <c r="I111" s="103"/>
    </row>
    <row r="112" spans="3:9" ht="42" customHeight="1" x14ac:dyDescent="0.25">
      <c r="C112" s="103"/>
      <c r="D112" s="103"/>
      <c r="F112" s="103"/>
      <c r="G112" s="103"/>
      <c r="H112" s="103"/>
      <c r="I112" s="103"/>
    </row>
    <row r="113" spans="3:9" ht="42" customHeight="1" x14ac:dyDescent="0.25">
      <c r="C113" s="103"/>
      <c r="D113" s="103"/>
      <c r="F113" s="103"/>
      <c r="G113" s="103"/>
      <c r="H113" s="103"/>
      <c r="I113" s="103"/>
    </row>
    <row r="114" spans="3:9" ht="42" customHeight="1" x14ac:dyDescent="0.25">
      <c r="C114" s="103"/>
      <c r="D114" s="103"/>
      <c r="F114" s="103"/>
      <c r="G114" s="103"/>
      <c r="H114" s="103"/>
      <c r="I114" s="103"/>
    </row>
    <row r="115" spans="3:9" ht="42" customHeight="1" x14ac:dyDescent="0.25">
      <c r="C115" s="103"/>
      <c r="D115" s="103"/>
      <c r="F115" s="103"/>
      <c r="G115" s="103"/>
      <c r="H115" s="103"/>
      <c r="I115" s="103"/>
    </row>
    <row r="116" spans="3:9" ht="42" customHeight="1" x14ac:dyDescent="0.25">
      <c r="C116" s="103"/>
      <c r="D116" s="103"/>
      <c r="F116" s="103"/>
      <c r="G116" s="103"/>
      <c r="H116" s="103"/>
      <c r="I116" s="103"/>
    </row>
    <row r="117" spans="3:9" ht="42" customHeight="1" x14ac:dyDescent="0.25">
      <c r="C117" s="103"/>
      <c r="D117" s="103"/>
      <c r="F117" s="103"/>
      <c r="G117" s="103"/>
      <c r="H117" s="103"/>
      <c r="I117" s="103"/>
    </row>
    <row r="118" spans="3:9" ht="42" customHeight="1" x14ac:dyDescent="0.25">
      <c r="C118" s="103"/>
      <c r="D118" s="103"/>
      <c r="F118" s="103"/>
      <c r="G118" s="103"/>
      <c r="H118" s="103"/>
      <c r="I118" s="103"/>
    </row>
    <row r="119" spans="3:9" ht="42" customHeight="1" x14ac:dyDescent="0.25">
      <c r="C119" s="103"/>
      <c r="D119" s="103"/>
      <c r="F119" s="103"/>
      <c r="G119" s="103"/>
      <c r="H119" s="103"/>
      <c r="I119" s="103"/>
    </row>
    <row r="120" spans="3:9" ht="42" customHeight="1" x14ac:dyDescent="0.25">
      <c r="C120" s="103"/>
      <c r="D120" s="103"/>
      <c r="F120" s="103"/>
      <c r="G120" s="103"/>
      <c r="H120" s="103"/>
      <c r="I120" s="103"/>
    </row>
    <row r="121" spans="3:9" ht="42" customHeight="1" x14ac:dyDescent="0.25">
      <c r="C121" s="103"/>
      <c r="D121" s="103"/>
      <c r="F121" s="103"/>
      <c r="G121" s="103"/>
      <c r="H121" s="103"/>
      <c r="I121" s="103"/>
    </row>
    <row r="122" spans="3:9" ht="42" customHeight="1" x14ac:dyDescent="0.25">
      <c r="C122" s="103"/>
      <c r="D122" s="103"/>
      <c r="F122" s="103"/>
      <c r="G122" s="103"/>
      <c r="H122" s="103"/>
      <c r="I122" s="103"/>
    </row>
    <row r="123" spans="3:9" ht="42" customHeight="1" x14ac:dyDescent="0.25">
      <c r="C123" s="103"/>
      <c r="D123" s="103"/>
      <c r="F123" s="103"/>
      <c r="G123" s="103"/>
      <c r="H123" s="103"/>
      <c r="I123" s="103"/>
    </row>
    <row r="124" spans="3:9" ht="42" customHeight="1" x14ac:dyDescent="0.25">
      <c r="C124" s="103"/>
      <c r="D124" s="103"/>
      <c r="F124" s="103"/>
      <c r="G124" s="103"/>
      <c r="H124" s="103"/>
      <c r="I124" s="103"/>
    </row>
    <row r="125" spans="3:9" ht="42" customHeight="1" x14ac:dyDescent="0.25">
      <c r="C125" s="103"/>
      <c r="D125" s="103"/>
      <c r="F125" s="103"/>
      <c r="G125" s="103"/>
      <c r="H125" s="103"/>
      <c r="I125" s="103"/>
    </row>
    <row r="126" spans="3:9" ht="42" customHeight="1" x14ac:dyDescent="0.25">
      <c r="C126" s="103"/>
      <c r="D126" s="103"/>
      <c r="F126" s="103"/>
      <c r="G126" s="103"/>
      <c r="H126" s="103"/>
      <c r="I126" s="103"/>
    </row>
    <row r="127" spans="3:9" ht="42" customHeight="1" x14ac:dyDescent="0.25">
      <c r="C127" s="103"/>
      <c r="D127" s="103"/>
      <c r="F127" s="103"/>
      <c r="G127" s="103"/>
      <c r="H127" s="103"/>
      <c r="I127" s="103"/>
    </row>
    <row r="128" spans="3:9" ht="42" customHeight="1" x14ac:dyDescent="0.25">
      <c r="C128" s="103"/>
      <c r="D128" s="103"/>
      <c r="F128" s="103"/>
      <c r="G128" s="103"/>
      <c r="H128" s="103"/>
      <c r="I128" s="103"/>
    </row>
    <row r="129" spans="3:9" ht="42" customHeight="1" x14ac:dyDescent="0.25">
      <c r="C129" s="103"/>
      <c r="D129" s="103"/>
      <c r="F129" s="103"/>
      <c r="G129" s="103"/>
      <c r="H129" s="103"/>
      <c r="I129" s="103"/>
    </row>
    <row r="130" spans="3:9" ht="42" customHeight="1" x14ac:dyDescent="0.25">
      <c r="C130" s="103"/>
      <c r="D130" s="103"/>
      <c r="F130" s="103"/>
      <c r="G130" s="103"/>
      <c r="H130" s="103"/>
      <c r="I130" s="103"/>
    </row>
    <row r="131" spans="3:9" ht="42" customHeight="1" x14ac:dyDescent="0.25">
      <c r="C131" s="103"/>
      <c r="D131" s="103"/>
      <c r="F131" s="103"/>
      <c r="G131" s="103"/>
      <c r="H131" s="103"/>
      <c r="I131" s="103"/>
    </row>
    <row r="132" spans="3:9" ht="42" customHeight="1" x14ac:dyDescent="0.25">
      <c r="C132" s="103"/>
      <c r="D132" s="103"/>
      <c r="F132" s="103"/>
      <c r="G132" s="103"/>
      <c r="H132" s="103"/>
      <c r="I132" s="103"/>
    </row>
    <row r="133" spans="3:9" ht="42" customHeight="1" x14ac:dyDescent="0.25">
      <c r="C133" s="103"/>
      <c r="D133" s="103"/>
      <c r="F133" s="103"/>
      <c r="G133" s="103"/>
      <c r="H133" s="103"/>
      <c r="I133" s="103"/>
    </row>
    <row r="134" spans="3:9" ht="42" customHeight="1" x14ac:dyDescent="0.25">
      <c r="C134" s="103"/>
      <c r="D134" s="103"/>
      <c r="F134" s="103"/>
      <c r="G134" s="103"/>
      <c r="H134" s="103"/>
      <c r="I134" s="103"/>
    </row>
    <row r="135" spans="3:9" ht="42" customHeight="1" x14ac:dyDescent="0.25">
      <c r="C135" s="103"/>
      <c r="D135" s="103"/>
      <c r="F135" s="103"/>
      <c r="G135" s="103"/>
      <c r="H135" s="103"/>
      <c r="I135" s="103"/>
    </row>
    <row r="136" spans="3:9" ht="42" customHeight="1" x14ac:dyDescent="0.25">
      <c r="C136" s="103"/>
      <c r="D136" s="103"/>
      <c r="F136" s="103"/>
      <c r="G136" s="103"/>
      <c r="H136" s="103"/>
      <c r="I136" s="103"/>
    </row>
    <row r="137" spans="3:9" ht="42" customHeight="1" x14ac:dyDescent="0.25">
      <c r="C137" s="103"/>
      <c r="D137" s="103"/>
      <c r="F137" s="103"/>
      <c r="G137" s="103"/>
      <c r="H137" s="103"/>
      <c r="I137" s="103"/>
    </row>
    <row r="138" spans="3:9" ht="42" customHeight="1" x14ac:dyDescent="0.25">
      <c r="C138" s="103"/>
      <c r="D138" s="103"/>
      <c r="F138" s="103"/>
      <c r="G138" s="103"/>
      <c r="H138" s="103"/>
      <c r="I138" s="103"/>
    </row>
    <row r="139" spans="3:9" ht="42" customHeight="1" x14ac:dyDescent="0.25">
      <c r="C139" s="103"/>
      <c r="D139" s="103"/>
      <c r="F139" s="103"/>
      <c r="G139" s="103"/>
      <c r="H139" s="103"/>
      <c r="I139" s="103"/>
    </row>
    <row r="140" spans="3:9" ht="42" customHeight="1" x14ac:dyDescent="0.25">
      <c r="C140" s="103"/>
      <c r="D140" s="103"/>
      <c r="F140" s="103"/>
      <c r="G140" s="103"/>
      <c r="H140" s="103"/>
      <c r="I140" s="103"/>
    </row>
    <row r="141" spans="3:9" ht="42" customHeight="1" x14ac:dyDescent="0.25">
      <c r="C141" s="103"/>
      <c r="D141" s="103"/>
      <c r="F141" s="103"/>
      <c r="G141" s="103"/>
      <c r="H141" s="103"/>
      <c r="I141" s="103"/>
    </row>
    <row r="142" spans="3:9" ht="42" customHeight="1" x14ac:dyDescent="0.25">
      <c r="C142" s="103"/>
      <c r="D142" s="103"/>
      <c r="F142" s="103"/>
      <c r="G142" s="103"/>
      <c r="H142" s="103"/>
      <c r="I142" s="103"/>
    </row>
    <row r="143" spans="3:9" ht="42" customHeight="1" x14ac:dyDescent="0.25">
      <c r="C143" s="103"/>
      <c r="D143" s="103"/>
      <c r="F143" s="103"/>
      <c r="G143" s="103"/>
      <c r="H143" s="103"/>
      <c r="I143" s="103"/>
    </row>
    <row r="144" spans="3:9" ht="42" customHeight="1" x14ac:dyDescent="0.25">
      <c r="C144" s="103"/>
      <c r="D144" s="103"/>
      <c r="F144" s="103"/>
      <c r="G144" s="103"/>
      <c r="H144" s="103"/>
      <c r="I144" s="103"/>
    </row>
    <row r="145" spans="3:9" ht="42" customHeight="1" x14ac:dyDescent="0.25">
      <c r="C145" s="103"/>
      <c r="D145" s="103"/>
      <c r="F145" s="103"/>
      <c r="G145" s="103"/>
      <c r="H145" s="103"/>
      <c r="I145" s="103"/>
    </row>
    <row r="146" spans="3:9" ht="42" customHeight="1" x14ac:dyDescent="0.25">
      <c r="C146" s="103"/>
      <c r="D146" s="103"/>
      <c r="F146" s="103"/>
      <c r="G146" s="103"/>
      <c r="H146" s="103"/>
      <c r="I146" s="103"/>
    </row>
    <row r="147" spans="3:9" ht="42" customHeight="1" x14ac:dyDescent="0.25">
      <c r="C147" s="103"/>
      <c r="D147" s="103"/>
      <c r="F147" s="103"/>
      <c r="G147" s="103"/>
      <c r="H147" s="103"/>
      <c r="I147" s="103"/>
    </row>
    <row r="148" spans="3:9" ht="42" customHeight="1" x14ac:dyDescent="0.25">
      <c r="C148" s="103"/>
      <c r="D148" s="103"/>
      <c r="F148" s="103"/>
      <c r="G148" s="103"/>
      <c r="H148" s="103"/>
      <c r="I148" s="103"/>
    </row>
    <row r="149" spans="3:9" ht="42" customHeight="1" x14ac:dyDescent="0.25">
      <c r="C149" s="103"/>
      <c r="D149" s="103"/>
      <c r="F149" s="103"/>
      <c r="G149" s="103"/>
      <c r="H149" s="103"/>
      <c r="I149" s="103"/>
    </row>
    <row r="150" spans="3:9" ht="42" customHeight="1" x14ac:dyDescent="0.25">
      <c r="C150" s="103"/>
      <c r="D150" s="103"/>
      <c r="F150" s="103"/>
      <c r="G150" s="103"/>
      <c r="H150" s="103"/>
      <c r="I150" s="103"/>
    </row>
    <row r="151" spans="3:9" ht="42" customHeight="1" x14ac:dyDescent="0.25">
      <c r="C151" s="103"/>
      <c r="D151" s="103"/>
      <c r="F151" s="103"/>
      <c r="G151" s="103"/>
      <c r="H151" s="103"/>
      <c r="I151" s="103"/>
    </row>
    <row r="152" spans="3:9" ht="42" customHeight="1" x14ac:dyDescent="0.25">
      <c r="C152" s="103"/>
      <c r="D152" s="103"/>
      <c r="F152" s="103"/>
      <c r="G152" s="103"/>
      <c r="H152" s="103"/>
      <c r="I152" s="103"/>
    </row>
    <row r="153" spans="3:9" ht="42" customHeight="1" x14ac:dyDescent="0.25">
      <c r="C153" s="103"/>
      <c r="D153" s="103"/>
      <c r="F153" s="103"/>
      <c r="G153" s="103"/>
      <c r="H153" s="103"/>
      <c r="I153" s="103"/>
    </row>
    <row r="154" spans="3:9" ht="42" customHeight="1" x14ac:dyDescent="0.25">
      <c r="C154" s="103"/>
      <c r="D154" s="103"/>
      <c r="F154" s="103"/>
      <c r="G154" s="103"/>
      <c r="H154" s="103"/>
      <c r="I154" s="103"/>
    </row>
    <row r="155" spans="3:9" ht="42" customHeight="1" x14ac:dyDescent="0.25">
      <c r="C155" s="103"/>
      <c r="D155" s="103"/>
      <c r="F155" s="103"/>
      <c r="G155" s="103"/>
      <c r="H155" s="103"/>
      <c r="I155" s="103"/>
    </row>
    <row r="156" spans="3:9" ht="42" customHeight="1" x14ac:dyDescent="0.25">
      <c r="C156" s="103"/>
      <c r="D156" s="103"/>
      <c r="F156" s="103"/>
      <c r="G156" s="103"/>
      <c r="H156" s="103"/>
      <c r="I156" s="103"/>
    </row>
    <row r="157" spans="3:9" ht="42" customHeight="1" x14ac:dyDescent="0.25">
      <c r="C157" s="103"/>
      <c r="D157" s="103"/>
      <c r="F157" s="103"/>
      <c r="G157" s="103"/>
      <c r="H157" s="103"/>
      <c r="I157" s="103"/>
    </row>
    <row r="158" spans="3:9" ht="42" customHeight="1" x14ac:dyDescent="0.25">
      <c r="C158" s="103"/>
      <c r="D158" s="103"/>
      <c r="F158" s="103"/>
      <c r="G158" s="103"/>
      <c r="H158" s="103"/>
      <c r="I158" s="103"/>
    </row>
    <row r="159" spans="3:9" ht="42" customHeight="1" x14ac:dyDescent="0.25">
      <c r="C159" s="103"/>
      <c r="D159" s="103"/>
      <c r="F159" s="103"/>
      <c r="G159" s="103"/>
      <c r="H159" s="103"/>
      <c r="I159" s="103"/>
    </row>
    <row r="160" spans="3:9" ht="42" customHeight="1" x14ac:dyDescent="0.25">
      <c r="C160" s="103"/>
      <c r="D160" s="103"/>
      <c r="F160" s="103"/>
      <c r="G160" s="103"/>
      <c r="H160" s="103"/>
      <c r="I160" s="103"/>
    </row>
    <row r="161" spans="3:9" ht="42" customHeight="1" x14ac:dyDescent="0.25">
      <c r="C161" s="103"/>
      <c r="D161" s="103"/>
      <c r="F161" s="103"/>
      <c r="G161" s="103"/>
      <c r="H161" s="103"/>
      <c r="I161" s="103"/>
    </row>
    <row r="162" spans="3:9" ht="42" customHeight="1" x14ac:dyDescent="0.25">
      <c r="C162" s="103"/>
      <c r="D162" s="103"/>
      <c r="F162" s="103"/>
      <c r="G162" s="103"/>
      <c r="H162" s="103"/>
      <c r="I162" s="103"/>
    </row>
    <row r="163" spans="3:9" ht="42" customHeight="1" x14ac:dyDescent="0.25">
      <c r="C163" s="103"/>
      <c r="D163" s="103"/>
      <c r="F163" s="103"/>
      <c r="G163" s="103"/>
      <c r="H163" s="103"/>
      <c r="I163" s="103"/>
    </row>
    <row r="164" spans="3:9" ht="42" customHeight="1" x14ac:dyDescent="0.25">
      <c r="C164" s="103"/>
      <c r="D164" s="103"/>
      <c r="F164" s="103"/>
      <c r="G164" s="103"/>
      <c r="H164" s="103"/>
      <c r="I164" s="103"/>
    </row>
    <row r="165" spans="3:9" ht="42" customHeight="1" x14ac:dyDescent="0.25">
      <c r="C165" s="103"/>
      <c r="D165" s="103"/>
      <c r="F165" s="103"/>
      <c r="G165" s="103"/>
      <c r="H165" s="103"/>
      <c r="I165" s="103"/>
    </row>
    <row r="166" spans="3:9" ht="42" customHeight="1" x14ac:dyDescent="0.25">
      <c r="C166" s="103"/>
      <c r="D166" s="103"/>
      <c r="F166" s="103"/>
      <c r="G166" s="103"/>
      <c r="H166" s="103"/>
      <c r="I166" s="103"/>
    </row>
    <row r="167" spans="3:9" ht="42" customHeight="1" x14ac:dyDescent="0.25">
      <c r="C167" s="103"/>
      <c r="D167" s="103"/>
      <c r="F167" s="103"/>
      <c r="G167" s="103"/>
      <c r="H167" s="103"/>
      <c r="I167" s="103"/>
    </row>
    <row r="168" spans="3:9" ht="42" customHeight="1" x14ac:dyDescent="0.25">
      <c r="C168" s="103"/>
      <c r="D168" s="103"/>
      <c r="F168" s="103"/>
      <c r="G168" s="103"/>
      <c r="H168" s="103"/>
      <c r="I168" s="103"/>
    </row>
    <row r="169" spans="3:9" ht="42" customHeight="1" x14ac:dyDescent="0.25">
      <c r="C169" s="103"/>
      <c r="D169" s="103"/>
      <c r="F169" s="103"/>
      <c r="G169" s="103"/>
      <c r="H169" s="103"/>
      <c r="I169" s="103"/>
    </row>
    <row r="170" spans="3:9" ht="42" customHeight="1" x14ac:dyDescent="0.25">
      <c r="C170" s="103"/>
      <c r="D170" s="103"/>
      <c r="F170" s="103"/>
      <c r="G170" s="103"/>
      <c r="H170" s="103"/>
      <c r="I170" s="103"/>
    </row>
    <row r="171" spans="3:9" ht="42" customHeight="1" x14ac:dyDescent="0.25">
      <c r="C171" s="103"/>
      <c r="D171" s="103"/>
      <c r="F171" s="103"/>
      <c r="G171" s="103"/>
      <c r="H171" s="103"/>
      <c r="I171" s="103"/>
    </row>
    <row r="172" spans="3:9" ht="42" customHeight="1" x14ac:dyDescent="0.25">
      <c r="C172" s="103"/>
      <c r="D172" s="103"/>
      <c r="F172" s="103"/>
      <c r="G172" s="103"/>
      <c r="H172" s="103"/>
      <c r="I172" s="103"/>
    </row>
    <row r="173" spans="3:9" ht="42" customHeight="1" x14ac:dyDescent="0.25">
      <c r="C173" s="103"/>
      <c r="D173" s="103"/>
      <c r="F173" s="103"/>
      <c r="G173" s="103"/>
      <c r="H173" s="103"/>
      <c r="I173" s="103"/>
    </row>
    <row r="174" spans="3:9" ht="42" customHeight="1" x14ac:dyDescent="0.25">
      <c r="C174" s="103"/>
      <c r="D174" s="103"/>
      <c r="F174" s="103"/>
      <c r="G174" s="103"/>
      <c r="H174" s="103"/>
      <c r="I174" s="103"/>
    </row>
    <row r="175" spans="3:9" ht="42" customHeight="1" x14ac:dyDescent="0.25">
      <c r="C175" s="103"/>
      <c r="D175" s="103"/>
      <c r="F175" s="103"/>
      <c r="G175" s="103"/>
      <c r="H175" s="103"/>
      <c r="I175" s="103"/>
    </row>
    <row r="176" spans="3:9" ht="42" customHeight="1" x14ac:dyDescent="0.25">
      <c r="C176" s="103"/>
      <c r="D176" s="103"/>
      <c r="F176" s="103"/>
      <c r="G176" s="103"/>
      <c r="H176" s="103"/>
      <c r="I176" s="103"/>
    </row>
    <row r="177" spans="3:9" ht="42" customHeight="1" x14ac:dyDescent="0.25">
      <c r="C177" s="103"/>
      <c r="D177" s="103"/>
      <c r="F177" s="103"/>
      <c r="G177" s="103"/>
      <c r="H177" s="103"/>
      <c r="I177" s="103"/>
    </row>
    <row r="178" spans="3:9" ht="42" customHeight="1" x14ac:dyDescent="0.25">
      <c r="C178" s="103"/>
      <c r="D178" s="103"/>
      <c r="F178" s="103"/>
      <c r="G178" s="103"/>
      <c r="H178" s="103"/>
      <c r="I178" s="103"/>
    </row>
    <row r="179" spans="3:9" ht="42" customHeight="1" x14ac:dyDescent="0.25">
      <c r="C179" s="103"/>
      <c r="D179" s="103"/>
      <c r="F179" s="103"/>
      <c r="G179" s="103"/>
      <c r="H179" s="103"/>
      <c r="I179" s="103"/>
    </row>
    <row r="180" spans="3:9" ht="42" customHeight="1" x14ac:dyDescent="0.25">
      <c r="C180" s="103"/>
      <c r="D180" s="103"/>
      <c r="F180" s="103"/>
      <c r="G180" s="103"/>
      <c r="H180" s="103"/>
      <c r="I180" s="103"/>
    </row>
    <row r="181" spans="3:9" ht="42" customHeight="1" x14ac:dyDescent="0.25">
      <c r="C181" s="103"/>
      <c r="D181" s="103"/>
      <c r="F181" s="103"/>
      <c r="G181" s="103"/>
      <c r="H181" s="103"/>
      <c r="I181" s="103"/>
    </row>
    <row r="182" spans="3:9" ht="42" customHeight="1" x14ac:dyDescent="0.25">
      <c r="C182" s="103"/>
      <c r="D182" s="103"/>
      <c r="F182" s="103"/>
      <c r="G182" s="103"/>
      <c r="H182" s="103"/>
      <c r="I182" s="103"/>
    </row>
    <row r="183" spans="3:9" ht="42" customHeight="1" x14ac:dyDescent="0.25">
      <c r="C183" s="103"/>
      <c r="D183" s="103"/>
      <c r="F183" s="103"/>
      <c r="G183" s="103"/>
      <c r="H183" s="103"/>
      <c r="I183" s="103"/>
    </row>
    <row r="184" spans="3:9" ht="42" customHeight="1" x14ac:dyDescent="0.25">
      <c r="C184" s="103"/>
      <c r="D184" s="103"/>
      <c r="F184" s="103"/>
      <c r="G184" s="103"/>
      <c r="H184" s="103"/>
      <c r="I184" s="103"/>
    </row>
    <row r="185" spans="3:9" ht="42" customHeight="1" x14ac:dyDescent="0.25">
      <c r="C185" s="103"/>
      <c r="D185" s="103"/>
      <c r="F185" s="103"/>
      <c r="G185" s="103"/>
      <c r="H185" s="103"/>
      <c r="I185" s="103"/>
    </row>
    <row r="186" spans="3:9" ht="42" customHeight="1" x14ac:dyDescent="0.25">
      <c r="C186" s="103"/>
      <c r="D186" s="103"/>
      <c r="F186" s="103"/>
      <c r="G186" s="103"/>
      <c r="H186" s="103"/>
      <c r="I186" s="103"/>
    </row>
    <row r="187" spans="3:9" ht="42" customHeight="1" x14ac:dyDescent="0.25">
      <c r="C187" s="103"/>
      <c r="D187" s="103"/>
      <c r="F187" s="103"/>
      <c r="G187" s="103"/>
      <c r="H187" s="103"/>
      <c r="I187" s="103"/>
    </row>
    <row r="188" spans="3:9" ht="42" customHeight="1" x14ac:dyDescent="0.25">
      <c r="C188" s="103"/>
      <c r="D188" s="103"/>
      <c r="F188" s="103"/>
      <c r="G188" s="103"/>
      <c r="H188" s="103"/>
      <c r="I188" s="103"/>
    </row>
    <row r="189" spans="3:9" ht="42" customHeight="1" x14ac:dyDescent="0.25">
      <c r="C189" s="103"/>
      <c r="D189" s="103"/>
      <c r="F189" s="103"/>
      <c r="G189" s="103"/>
      <c r="H189" s="103"/>
      <c r="I189" s="103"/>
    </row>
    <row r="190" spans="3:9" ht="42" customHeight="1" x14ac:dyDescent="0.25">
      <c r="C190" s="103"/>
      <c r="D190" s="103"/>
      <c r="F190" s="103"/>
      <c r="G190" s="103"/>
      <c r="H190" s="103"/>
      <c r="I190" s="103"/>
    </row>
    <row r="191" spans="3:9" ht="42" customHeight="1" x14ac:dyDescent="0.25">
      <c r="C191" s="103"/>
      <c r="D191" s="103"/>
      <c r="F191" s="103"/>
      <c r="G191" s="103"/>
      <c r="H191" s="103"/>
      <c r="I191" s="103"/>
    </row>
    <row r="192" spans="3:9" ht="42" customHeight="1" x14ac:dyDescent="0.25">
      <c r="C192" s="103"/>
      <c r="D192" s="103"/>
      <c r="F192" s="103"/>
      <c r="G192" s="103"/>
      <c r="H192" s="103"/>
      <c r="I192" s="103"/>
    </row>
    <row r="193" spans="3:9" ht="42" customHeight="1" x14ac:dyDescent="0.25">
      <c r="C193" s="103"/>
      <c r="D193" s="103"/>
      <c r="F193" s="103"/>
      <c r="G193" s="103"/>
      <c r="H193" s="103"/>
      <c r="I193" s="103"/>
    </row>
    <row r="194" spans="3:9" ht="42" customHeight="1" x14ac:dyDescent="0.25">
      <c r="C194" s="103"/>
      <c r="D194" s="103"/>
      <c r="F194" s="103"/>
      <c r="G194" s="103"/>
      <c r="H194" s="103"/>
      <c r="I194" s="103"/>
    </row>
    <row r="195" spans="3:9" ht="42" customHeight="1" x14ac:dyDescent="0.25">
      <c r="C195" s="103"/>
      <c r="D195" s="103"/>
      <c r="F195" s="103"/>
      <c r="G195" s="103"/>
      <c r="H195" s="103"/>
      <c r="I195" s="103"/>
    </row>
    <row r="196" spans="3:9" ht="42" customHeight="1" x14ac:dyDescent="0.25">
      <c r="C196" s="103"/>
      <c r="D196" s="103"/>
      <c r="F196" s="103"/>
      <c r="G196" s="103"/>
      <c r="H196" s="103"/>
      <c r="I196" s="103"/>
    </row>
    <row r="197" spans="3:9" ht="42" customHeight="1" x14ac:dyDescent="0.25">
      <c r="C197" s="103"/>
      <c r="D197" s="103"/>
      <c r="F197" s="103"/>
      <c r="G197" s="103"/>
      <c r="H197" s="103"/>
      <c r="I197" s="103"/>
    </row>
    <row r="198" spans="3:9" ht="42" customHeight="1" x14ac:dyDescent="0.25">
      <c r="C198" s="103"/>
      <c r="D198" s="103"/>
      <c r="F198" s="103"/>
      <c r="G198" s="103"/>
      <c r="H198" s="103"/>
      <c r="I198" s="103"/>
    </row>
    <row r="199" spans="3:9" ht="42" customHeight="1" x14ac:dyDescent="0.25">
      <c r="C199" s="103"/>
      <c r="D199" s="103"/>
      <c r="F199" s="103"/>
      <c r="G199" s="103"/>
      <c r="H199" s="103"/>
      <c r="I199" s="103"/>
    </row>
    <row r="200" spans="3:9" ht="42" customHeight="1" x14ac:dyDescent="0.25">
      <c r="C200" s="103"/>
      <c r="D200" s="103"/>
      <c r="F200" s="103"/>
      <c r="G200" s="103"/>
      <c r="H200" s="103"/>
      <c r="I200" s="103"/>
    </row>
    <row r="201" spans="3:9" ht="42" customHeight="1" x14ac:dyDescent="0.25">
      <c r="C201" s="103"/>
      <c r="D201" s="103"/>
      <c r="F201" s="103"/>
      <c r="G201" s="103"/>
      <c r="H201" s="103"/>
      <c r="I201" s="103"/>
    </row>
    <row r="202" spans="3:9" ht="42" customHeight="1" x14ac:dyDescent="0.25">
      <c r="C202" s="103"/>
      <c r="D202" s="103"/>
      <c r="F202" s="103"/>
      <c r="G202" s="103"/>
      <c r="H202" s="103"/>
      <c r="I202" s="103"/>
    </row>
    <row r="203" spans="3:9" ht="42" customHeight="1" x14ac:dyDescent="0.25">
      <c r="C203" s="103"/>
      <c r="D203" s="103"/>
      <c r="F203" s="103"/>
      <c r="G203" s="103"/>
      <c r="H203" s="103"/>
      <c r="I203" s="103"/>
    </row>
    <row r="204" spans="3:9" ht="42" customHeight="1" x14ac:dyDescent="0.25">
      <c r="C204" s="103"/>
      <c r="D204" s="103"/>
      <c r="F204" s="103"/>
      <c r="G204" s="103"/>
      <c r="H204" s="103"/>
      <c r="I204" s="103"/>
    </row>
    <row r="205" spans="3:9" ht="42" customHeight="1" x14ac:dyDescent="0.25">
      <c r="C205" s="103"/>
      <c r="D205" s="103"/>
      <c r="F205" s="103"/>
      <c r="G205" s="103"/>
      <c r="H205" s="103"/>
      <c r="I205" s="103"/>
    </row>
    <row r="206" spans="3:9" ht="42" customHeight="1" x14ac:dyDescent="0.25">
      <c r="C206" s="103"/>
      <c r="D206" s="103"/>
      <c r="F206" s="103"/>
      <c r="G206" s="103"/>
      <c r="H206" s="103"/>
      <c r="I206" s="103"/>
    </row>
    <row r="207" spans="3:9" ht="42" customHeight="1" x14ac:dyDescent="0.25">
      <c r="C207" s="103"/>
      <c r="D207" s="103"/>
      <c r="F207" s="103"/>
      <c r="G207" s="103"/>
      <c r="H207" s="103"/>
      <c r="I207" s="103"/>
    </row>
    <row r="208" spans="3:9" ht="42" customHeight="1" x14ac:dyDescent="0.25">
      <c r="C208" s="103"/>
      <c r="D208" s="103"/>
      <c r="F208" s="103"/>
      <c r="G208" s="103"/>
      <c r="H208" s="103"/>
      <c r="I208" s="103"/>
    </row>
    <row r="209" spans="3:9" ht="42" customHeight="1" x14ac:dyDescent="0.25">
      <c r="C209" s="103"/>
      <c r="D209" s="103"/>
      <c r="F209" s="103"/>
      <c r="G209" s="103"/>
      <c r="H209" s="103"/>
      <c r="I209" s="103"/>
    </row>
    <row r="210" spans="3:9" ht="42" customHeight="1" x14ac:dyDescent="0.25">
      <c r="C210" s="103"/>
      <c r="D210" s="103"/>
      <c r="F210" s="103"/>
      <c r="G210" s="103"/>
      <c r="H210" s="103"/>
      <c r="I210" s="103"/>
    </row>
    <row r="211" spans="3:9" ht="42" customHeight="1" x14ac:dyDescent="0.25">
      <c r="C211" s="103"/>
      <c r="D211" s="103"/>
      <c r="F211" s="103"/>
      <c r="G211" s="103"/>
      <c r="H211" s="103"/>
      <c r="I211" s="103"/>
    </row>
    <row r="212" spans="3:9" ht="42" customHeight="1" x14ac:dyDescent="0.25">
      <c r="C212" s="103"/>
      <c r="D212" s="103"/>
      <c r="F212" s="103"/>
      <c r="G212" s="103"/>
      <c r="H212" s="103"/>
      <c r="I212" s="103"/>
    </row>
    <row r="213" spans="3:9" ht="42" customHeight="1" x14ac:dyDescent="0.25">
      <c r="C213" s="103"/>
      <c r="D213" s="103"/>
      <c r="F213" s="103"/>
      <c r="G213" s="103"/>
      <c r="H213" s="103"/>
      <c r="I213" s="103"/>
    </row>
    <row r="214" spans="3:9" ht="42" customHeight="1" x14ac:dyDescent="0.25">
      <c r="C214" s="103"/>
      <c r="D214" s="103"/>
      <c r="F214" s="103"/>
      <c r="G214" s="103"/>
      <c r="H214" s="103"/>
      <c r="I214" s="103"/>
    </row>
    <row r="215" spans="3:9" ht="42" customHeight="1" x14ac:dyDescent="0.25">
      <c r="C215" s="103"/>
      <c r="D215" s="103"/>
      <c r="F215" s="103"/>
      <c r="G215" s="103"/>
      <c r="H215" s="103"/>
      <c r="I215" s="103"/>
    </row>
    <row r="216" spans="3:9" ht="42" customHeight="1" x14ac:dyDescent="0.25">
      <c r="C216" s="103"/>
      <c r="D216" s="103"/>
      <c r="F216" s="103"/>
      <c r="G216" s="103"/>
      <c r="H216" s="103"/>
      <c r="I216" s="103"/>
    </row>
    <row r="217" spans="3:9" ht="42" customHeight="1" x14ac:dyDescent="0.25">
      <c r="C217" s="103"/>
      <c r="D217" s="103"/>
      <c r="F217" s="103"/>
      <c r="G217" s="103"/>
      <c r="H217" s="103"/>
      <c r="I217" s="103"/>
    </row>
    <row r="218" spans="3:9" ht="42" customHeight="1" x14ac:dyDescent="0.25">
      <c r="C218" s="103"/>
      <c r="D218" s="103"/>
      <c r="F218" s="103"/>
      <c r="G218" s="103"/>
      <c r="H218" s="103"/>
      <c r="I218" s="103"/>
    </row>
    <row r="219" spans="3:9" ht="42" customHeight="1" x14ac:dyDescent="0.25">
      <c r="C219" s="103"/>
      <c r="D219" s="103"/>
      <c r="F219" s="103"/>
      <c r="G219" s="103"/>
      <c r="H219" s="103"/>
      <c r="I219" s="103"/>
    </row>
    <row r="220" spans="3:9" ht="42" customHeight="1" x14ac:dyDescent="0.25">
      <c r="C220" s="103"/>
      <c r="D220" s="103"/>
      <c r="F220" s="103"/>
      <c r="G220" s="103"/>
      <c r="H220" s="103"/>
      <c r="I220" s="103"/>
    </row>
    <row r="221" spans="3:9" ht="42" customHeight="1" x14ac:dyDescent="0.25">
      <c r="C221" s="103"/>
      <c r="D221" s="103"/>
      <c r="F221" s="103"/>
      <c r="G221" s="103"/>
      <c r="H221" s="103"/>
      <c r="I221" s="103"/>
    </row>
    <row r="222" spans="3:9" ht="42" customHeight="1" x14ac:dyDescent="0.25">
      <c r="C222" s="103"/>
      <c r="D222" s="103"/>
      <c r="F222" s="103"/>
      <c r="G222" s="103"/>
      <c r="H222" s="103"/>
      <c r="I222" s="103"/>
    </row>
    <row r="223" spans="3:9" ht="42" customHeight="1" x14ac:dyDescent="0.25">
      <c r="C223" s="103"/>
      <c r="D223" s="103"/>
      <c r="F223" s="103"/>
      <c r="G223" s="103"/>
      <c r="H223" s="103"/>
      <c r="I223" s="103"/>
    </row>
    <row r="224" spans="3:9" ht="42" customHeight="1" x14ac:dyDescent="0.25">
      <c r="C224" s="103"/>
      <c r="D224" s="103"/>
      <c r="F224" s="103"/>
      <c r="G224" s="103"/>
      <c r="H224" s="103"/>
      <c r="I224" s="103"/>
    </row>
    <row r="225" spans="3:9" ht="42" customHeight="1" x14ac:dyDescent="0.25">
      <c r="C225" s="103"/>
      <c r="D225" s="103"/>
      <c r="F225" s="103"/>
      <c r="G225" s="103"/>
      <c r="H225" s="103"/>
      <c r="I225" s="103"/>
    </row>
    <row r="226" spans="3:9" ht="42" customHeight="1" x14ac:dyDescent="0.25">
      <c r="C226" s="103"/>
      <c r="D226" s="103"/>
      <c r="F226" s="103"/>
      <c r="G226" s="103"/>
      <c r="H226" s="103"/>
      <c r="I226" s="103"/>
    </row>
    <row r="227" spans="3:9" ht="42" customHeight="1" x14ac:dyDescent="0.25">
      <c r="C227" s="103"/>
      <c r="D227" s="103"/>
      <c r="F227" s="103"/>
      <c r="G227" s="103"/>
      <c r="H227" s="103"/>
      <c r="I227" s="103"/>
    </row>
    <row r="228" spans="3:9" ht="42" customHeight="1" x14ac:dyDescent="0.25">
      <c r="C228" s="103"/>
      <c r="D228" s="103"/>
      <c r="F228" s="103"/>
      <c r="G228" s="103"/>
      <c r="H228" s="103"/>
      <c r="I228" s="103"/>
    </row>
    <row r="229" spans="3:9" ht="42" customHeight="1" x14ac:dyDescent="0.25">
      <c r="C229" s="103"/>
      <c r="D229" s="103"/>
      <c r="F229" s="103"/>
      <c r="G229" s="103"/>
      <c r="H229" s="103"/>
      <c r="I229" s="103"/>
    </row>
    <row r="230" spans="3:9" ht="42" customHeight="1" x14ac:dyDescent="0.25">
      <c r="C230" s="103"/>
      <c r="D230" s="103"/>
      <c r="F230" s="103"/>
      <c r="G230" s="103"/>
      <c r="H230" s="103"/>
      <c r="I230" s="103"/>
    </row>
    <row r="231" spans="3:9" ht="42" customHeight="1" x14ac:dyDescent="0.25">
      <c r="C231" s="103"/>
      <c r="D231" s="103"/>
      <c r="F231" s="103"/>
      <c r="G231" s="103"/>
      <c r="H231" s="103"/>
      <c r="I231" s="103"/>
    </row>
    <row r="232" spans="3:9" ht="42" customHeight="1" x14ac:dyDescent="0.25">
      <c r="C232" s="103"/>
      <c r="D232" s="103"/>
      <c r="F232" s="103"/>
      <c r="G232" s="103"/>
      <c r="H232" s="103"/>
      <c r="I232" s="103"/>
    </row>
    <row r="233" spans="3:9" ht="42" customHeight="1" x14ac:dyDescent="0.25">
      <c r="C233" s="103"/>
      <c r="D233" s="103"/>
      <c r="F233" s="103"/>
      <c r="G233" s="103"/>
      <c r="H233" s="103"/>
      <c r="I233" s="103"/>
    </row>
    <row r="234" spans="3:9" ht="42" customHeight="1" x14ac:dyDescent="0.25">
      <c r="C234" s="103"/>
      <c r="D234" s="103"/>
      <c r="F234" s="103"/>
      <c r="G234" s="103"/>
      <c r="H234" s="103"/>
      <c r="I234" s="103"/>
    </row>
    <row r="235" spans="3:9" ht="42" customHeight="1" x14ac:dyDescent="0.25">
      <c r="C235" s="103"/>
      <c r="D235" s="103"/>
      <c r="F235" s="103"/>
      <c r="G235" s="103"/>
      <c r="H235" s="103"/>
      <c r="I235" s="103"/>
    </row>
    <row r="236" spans="3:9" ht="42" customHeight="1" x14ac:dyDescent="0.25">
      <c r="C236" s="103"/>
      <c r="D236" s="103"/>
      <c r="F236" s="103"/>
      <c r="G236" s="103"/>
      <c r="H236" s="103"/>
      <c r="I236" s="103"/>
    </row>
    <row r="237" spans="3:9" ht="42" customHeight="1" x14ac:dyDescent="0.25">
      <c r="C237" s="103"/>
      <c r="D237" s="103"/>
      <c r="F237" s="103"/>
      <c r="G237" s="103"/>
      <c r="H237" s="103"/>
      <c r="I237" s="103"/>
    </row>
    <row r="238" spans="3:9" ht="42" customHeight="1" x14ac:dyDescent="0.25">
      <c r="C238" s="103"/>
      <c r="D238" s="103"/>
      <c r="F238" s="103"/>
      <c r="G238" s="103"/>
      <c r="H238" s="103"/>
      <c r="I238" s="103"/>
    </row>
    <row r="239" spans="3:9" ht="42" customHeight="1" x14ac:dyDescent="0.25">
      <c r="C239" s="103"/>
      <c r="D239" s="103"/>
      <c r="F239" s="103"/>
      <c r="G239" s="103"/>
      <c r="H239" s="103"/>
      <c r="I239" s="103"/>
    </row>
    <row r="240" spans="3:9" ht="42" customHeight="1" x14ac:dyDescent="0.25">
      <c r="C240" s="103"/>
      <c r="D240" s="103"/>
      <c r="F240" s="103"/>
      <c r="G240" s="103"/>
      <c r="H240" s="103"/>
      <c r="I240" s="103"/>
    </row>
    <row r="241" spans="3:9" ht="42" customHeight="1" x14ac:dyDescent="0.25">
      <c r="C241" s="103"/>
      <c r="D241" s="103"/>
      <c r="F241" s="103"/>
      <c r="G241" s="103"/>
      <c r="H241" s="103"/>
      <c r="I241" s="103"/>
    </row>
    <row r="242" spans="3:9" ht="42" customHeight="1" x14ac:dyDescent="0.25">
      <c r="C242" s="103"/>
      <c r="D242" s="103"/>
      <c r="F242" s="103"/>
      <c r="G242" s="103"/>
      <c r="H242" s="103"/>
      <c r="I242" s="103"/>
    </row>
    <row r="243" spans="3:9" ht="42" customHeight="1" x14ac:dyDescent="0.25">
      <c r="C243" s="103"/>
      <c r="D243" s="103"/>
      <c r="F243" s="103"/>
      <c r="G243" s="103"/>
      <c r="H243" s="103"/>
      <c r="I243" s="103"/>
    </row>
    <row r="244" spans="3:9" ht="42" customHeight="1" x14ac:dyDescent="0.25">
      <c r="C244" s="103"/>
      <c r="D244" s="103"/>
      <c r="F244" s="103"/>
      <c r="G244" s="103"/>
      <c r="H244" s="103"/>
      <c r="I244" s="103"/>
    </row>
    <row r="245" spans="3:9" ht="42" customHeight="1" x14ac:dyDescent="0.25">
      <c r="C245" s="103"/>
      <c r="D245" s="103"/>
      <c r="F245" s="103"/>
      <c r="G245" s="103"/>
      <c r="H245" s="103"/>
      <c r="I245" s="103"/>
    </row>
    <row r="246" spans="3:9" ht="42" customHeight="1" x14ac:dyDescent="0.25">
      <c r="C246" s="103"/>
      <c r="D246" s="103"/>
      <c r="F246" s="103"/>
      <c r="G246" s="103"/>
      <c r="H246" s="103"/>
      <c r="I246" s="103"/>
    </row>
    <row r="247" spans="3:9" ht="42" customHeight="1" x14ac:dyDescent="0.25">
      <c r="C247" s="103"/>
      <c r="D247" s="103"/>
      <c r="F247" s="103"/>
      <c r="G247" s="103"/>
      <c r="H247" s="103"/>
      <c r="I247" s="103"/>
    </row>
    <row r="248" spans="3:9" ht="42" customHeight="1" x14ac:dyDescent="0.25">
      <c r="C248" s="103"/>
      <c r="D248" s="103"/>
      <c r="F248" s="103"/>
      <c r="G248" s="103"/>
      <c r="H248" s="103"/>
      <c r="I248" s="103"/>
    </row>
    <row r="249" spans="3:9" ht="42" customHeight="1" x14ac:dyDescent="0.25">
      <c r="C249" s="103"/>
      <c r="D249" s="103"/>
      <c r="F249" s="103"/>
      <c r="G249" s="103"/>
      <c r="H249" s="103"/>
      <c r="I249" s="103"/>
    </row>
    <row r="250" spans="3:9" ht="42" customHeight="1" x14ac:dyDescent="0.25">
      <c r="C250" s="103"/>
      <c r="D250" s="103"/>
      <c r="F250" s="103"/>
      <c r="G250" s="103"/>
      <c r="H250" s="103"/>
      <c r="I250" s="103"/>
    </row>
    <row r="251" spans="3:9" ht="42" customHeight="1" x14ac:dyDescent="0.25">
      <c r="C251" s="103"/>
      <c r="D251" s="103"/>
      <c r="F251" s="103"/>
      <c r="G251" s="103"/>
      <c r="H251" s="103"/>
      <c r="I251" s="103"/>
    </row>
    <row r="252" spans="3:9" ht="42" customHeight="1" x14ac:dyDescent="0.25">
      <c r="C252" s="103"/>
      <c r="D252" s="103"/>
      <c r="F252" s="103"/>
      <c r="G252" s="103"/>
      <c r="H252" s="103"/>
      <c r="I252" s="103"/>
    </row>
    <row r="253" spans="3:9" ht="42" customHeight="1" x14ac:dyDescent="0.25">
      <c r="C253" s="103"/>
      <c r="D253" s="103"/>
      <c r="F253" s="103"/>
      <c r="G253" s="103"/>
      <c r="H253" s="103"/>
      <c r="I253" s="103"/>
    </row>
    <row r="254" spans="3:9" ht="42" customHeight="1" x14ac:dyDescent="0.25">
      <c r="C254" s="103"/>
      <c r="D254" s="103"/>
      <c r="F254" s="103"/>
      <c r="G254" s="103"/>
      <c r="H254" s="103"/>
      <c r="I254" s="103"/>
    </row>
    <row r="255" spans="3:9" ht="42" customHeight="1" x14ac:dyDescent="0.25">
      <c r="C255" s="103"/>
      <c r="D255" s="103"/>
      <c r="F255" s="103"/>
      <c r="G255" s="103"/>
      <c r="H255" s="103"/>
      <c r="I255" s="103"/>
    </row>
    <row r="256" spans="3:9" ht="42" customHeight="1" x14ac:dyDescent="0.25">
      <c r="C256" s="103"/>
      <c r="D256" s="103"/>
      <c r="F256" s="103"/>
      <c r="G256" s="103"/>
      <c r="H256" s="103"/>
      <c r="I256" s="103"/>
    </row>
    <row r="257" spans="3:9" ht="42" customHeight="1" x14ac:dyDescent="0.25">
      <c r="C257" s="103"/>
      <c r="D257" s="103"/>
      <c r="F257" s="103"/>
      <c r="G257" s="103"/>
      <c r="H257" s="103"/>
      <c r="I257" s="103"/>
    </row>
    <row r="258" spans="3:9" ht="42" customHeight="1" x14ac:dyDescent="0.25">
      <c r="C258" s="103"/>
      <c r="D258" s="103"/>
      <c r="F258" s="103"/>
      <c r="G258" s="103"/>
      <c r="H258" s="103"/>
      <c r="I258" s="103"/>
    </row>
    <row r="259" spans="3:9" ht="42" customHeight="1" x14ac:dyDescent="0.25">
      <c r="C259" s="103"/>
      <c r="D259" s="103"/>
      <c r="F259" s="103"/>
      <c r="G259" s="103"/>
      <c r="H259" s="103"/>
      <c r="I259" s="103"/>
    </row>
    <row r="260" spans="3:9" ht="42" customHeight="1" x14ac:dyDescent="0.25">
      <c r="C260" s="103"/>
      <c r="D260" s="103"/>
      <c r="F260" s="103"/>
      <c r="G260" s="103"/>
      <c r="H260" s="103"/>
      <c r="I260" s="103"/>
    </row>
    <row r="261" spans="3:9" ht="42" customHeight="1" x14ac:dyDescent="0.25">
      <c r="C261" s="103"/>
      <c r="D261" s="103"/>
      <c r="F261" s="103"/>
      <c r="G261" s="103"/>
      <c r="H261" s="103"/>
      <c r="I261" s="103"/>
    </row>
    <row r="262" spans="3:9" ht="42" customHeight="1" x14ac:dyDescent="0.25">
      <c r="C262" s="103"/>
      <c r="D262" s="103"/>
      <c r="F262" s="103"/>
      <c r="G262" s="103"/>
      <c r="H262" s="103"/>
      <c r="I262" s="103"/>
    </row>
    <row r="263" spans="3:9" ht="42" customHeight="1" x14ac:dyDescent="0.25">
      <c r="C263" s="103"/>
      <c r="D263" s="103"/>
      <c r="F263" s="103"/>
      <c r="G263" s="103"/>
      <c r="H263" s="103"/>
      <c r="I263" s="103"/>
    </row>
    <row r="264" spans="3:9" ht="42" customHeight="1" x14ac:dyDescent="0.25">
      <c r="C264" s="103"/>
      <c r="D264" s="103"/>
      <c r="F264" s="103"/>
      <c r="G264" s="103"/>
      <c r="H264" s="103"/>
      <c r="I264" s="103"/>
    </row>
    <row r="265" spans="3:9" ht="42" customHeight="1" x14ac:dyDescent="0.25">
      <c r="C265" s="103"/>
      <c r="D265" s="103"/>
      <c r="F265" s="103"/>
      <c r="G265" s="103"/>
      <c r="H265" s="103"/>
      <c r="I265" s="103"/>
    </row>
    <row r="266" spans="3:9" ht="42" customHeight="1" x14ac:dyDescent="0.25">
      <c r="C266" s="103"/>
      <c r="D266" s="103"/>
      <c r="F266" s="103"/>
      <c r="G266" s="103"/>
      <c r="H266" s="103"/>
      <c r="I266" s="103"/>
    </row>
    <row r="267" spans="3:9" ht="42" customHeight="1" x14ac:dyDescent="0.25">
      <c r="C267" s="103"/>
      <c r="D267" s="103"/>
      <c r="F267" s="103"/>
      <c r="G267" s="103"/>
      <c r="H267" s="103"/>
      <c r="I267" s="103"/>
    </row>
    <row r="268" spans="3:9" ht="42" customHeight="1" x14ac:dyDescent="0.25">
      <c r="C268" s="103"/>
      <c r="D268" s="103"/>
      <c r="F268" s="103"/>
      <c r="G268" s="103"/>
      <c r="H268" s="103"/>
      <c r="I268" s="103"/>
    </row>
    <row r="269" spans="3:9" ht="42" customHeight="1" x14ac:dyDescent="0.25">
      <c r="C269" s="103"/>
      <c r="D269" s="103"/>
      <c r="F269" s="103"/>
      <c r="G269" s="103"/>
      <c r="H269" s="103"/>
      <c r="I269" s="103"/>
    </row>
    <row r="270" spans="3:9" ht="42" customHeight="1" x14ac:dyDescent="0.25">
      <c r="C270" s="103"/>
      <c r="D270" s="103"/>
      <c r="F270" s="103"/>
      <c r="G270" s="103"/>
      <c r="H270" s="103"/>
      <c r="I270" s="103"/>
    </row>
    <row r="271" spans="3:9" ht="42" customHeight="1" x14ac:dyDescent="0.25">
      <c r="C271" s="103"/>
      <c r="D271" s="103"/>
      <c r="F271" s="103"/>
      <c r="G271" s="103"/>
      <c r="H271" s="103"/>
      <c r="I271" s="103"/>
    </row>
    <row r="272" spans="3:9" ht="42" customHeight="1" x14ac:dyDescent="0.25">
      <c r="C272" s="103"/>
      <c r="D272" s="103"/>
      <c r="F272" s="103"/>
      <c r="G272" s="103"/>
      <c r="H272" s="103"/>
      <c r="I272" s="103"/>
    </row>
    <row r="273" spans="3:9" ht="42" customHeight="1" x14ac:dyDescent="0.25">
      <c r="C273" s="103"/>
      <c r="D273" s="103"/>
      <c r="F273" s="103"/>
      <c r="G273" s="103"/>
      <c r="H273" s="103"/>
      <c r="I273" s="103"/>
    </row>
    <row r="274" spans="3:9" ht="42" customHeight="1" x14ac:dyDescent="0.25">
      <c r="C274" s="103"/>
      <c r="D274" s="103"/>
      <c r="F274" s="103"/>
      <c r="G274" s="103"/>
      <c r="H274" s="103"/>
      <c r="I274" s="103"/>
    </row>
    <row r="275" spans="3:9" ht="42" customHeight="1" x14ac:dyDescent="0.25">
      <c r="C275" s="103"/>
      <c r="D275" s="103"/>
      <c r="F275" s="103"/>
      <c r="G275" s="103"/>
      <c r="H275" s="103"/>
      <c r="I275" s="103"/>
    </row>
    <row r="276" spans="3:9" ht="42" customHeight="1" x14ac:dyDescent="0.25">
      <c r="C276" s="103"/>
      <c r="D276" s="103"/>
      <c r="F276" s="103"/>
      <c r="G276" s="103"/>
      <c r="H276" s="103"/>
      <c r="I276" s="103"/>
    </row>
    <row r="277" spans="3:9" ht="42" customHeight="1" x14ac:dyDescent="0.25">
      <c r="C277" s="103"/>
      <c r="D277" s="103"/>
      <c r="F277" s="103"/>
      <c r="G277" s="103"/>
      <c r="H277" s="103"/>
      <c r="I277" s="103"/>
    </row>
    <row r="278" spans="3:9" ht="42" customHeight="1" x14ac:dyDescent="0.25">
      <c r="C278" s="103"/>
      <c r="D278" s="103"/>
      <c r="F278" s="103"/>
      <c r="G278" s="103"/>
      <c r="H278" s="103"/>
      <c r="I278" s="103"/>
    </row>
    <row r="279" spans="3:9" ht="42" customHeight="1" x14ac:dyDescent="0.25">
      <c r="C279" s="103"/>
      <c r="D279" s="103"/>
      <c r="F279" s="103"/>
      <c r="G279" s="103"/>
      <c r="H279" s="103"/>
      <c r="I279" s="103"/>
    </row>
    <row r="280" spans="3:9" ht="42" customHeight="1" x14ac:dyDescent="0.25">
      <c r="C280" s="103"/>
      <c r="D280" s="103"/>
      <c r="F280" s="103"/>
      <c r="G280" s="103"/>
      <c r="H280" s="103"/>
      <c r="I280" s="103"/>
    </row>
    <row r="281" spans="3:9" ht="42" customHeight="1" x14ac:dyDescent="0.25">
      <c r="C281" s="103"/>
      <c r="D281" s="103"/>
      <c r="F281" s="103"/>
      <c r="G281" s="103"/>
      <c r="H281" s="103"/>
      <c r="I281" s="103"/>
    </row>
    <row r="282" spans="3:9" ht="42" customHeight="1" x14ac:dyDescent="0.25">
      <c r="C282" s="103"/>
      <c r="D282" s="103"/>
      <c r="F282" s="103"/>
      <c r="G282" s="103"/>
      <c r="H282" s="103"/>
      <c r="I282" s="103"/>
    </row>
    <row r="283" spans="3:9" ht="42" customHeight="1" x14ac:dyDescent="0.25">
      <c r="C283" s="103"/>
      <c r="D283" s="103"/>
      <c r="F283" s="103"/>
      <c r="G283" s="103"/>
      <c r="H283" s="103"/>
      <c r="I283" s="103"/>
    </row>
    <row r="284" spans="3:9" ht="42" customHeight="1" x14ac:dyDescent="0.25">
      <c r="C284" s="103"/>
      <c r="D284" s="103"/>
      <c r="F284" s="103"/>
      <c r="G284" s="103"/>
      <c r="H284" s="103"/>
      <c r="I284" s="103"/>
    </row>
    <row r="285" spans="3:9" ht="42" customHeight="1" x14ac:dyDescent="0.25">
      <c r="C285" s="103"/>
      <c r="D285" s="103"/>
      <c r="F285" s="103"/>
      <c r="G285" s="103"/>
      <c r="H285" s="103"/>
      <c r="I285" s="103"/>
    </row>
    <row r="286" spans="3:9" ht="42" customHeight="1" x14ac:dyDescent="0.25">
      <c r="C286" s="103"/>
      <c r="D286" s="103"/>
      <c r="F286" s="103"/>
      <c r="G286" s="103"/>
      <c r="H286" s="103"/>
      <c r="I286" s="103"/>
    </row>
    <row r="287" spans="3:9" ht="42" customHeight="1" x14ac:dyDescent="0.25">
      <c r="C287" s="103"/>
      <c r="D287" s="103"/>
      <c r="F287" s="103"/>
      <c r="G287" s="103"/>
      <c r="H287" s="103"/>
      <c r="I287" s="103"/>
    </row>
    <row r="288" spans="3:9" ht="42" customHeight="1" x14ac:dyDescent="0.25">
      <c r="C288" s="103"/>
      <c r="D288" s="103"/>
      <c r="F288" s="103"/>
      <c r="G288" s="103"/>
      <c r="H288" s="103"/>
      <c r="I288" s="103"/>
    </row>
    <row r="289" spans="3:9" ht="42" customHeight="1" x14ac:dyDescent="0.25">
      <c r="C289" s="103"/>
      <c r="D289" s="103"/>
      <c r="F289" s="103"/>
      <c r="G289" s="103"/>
      <c r="H289" s="103"/>
      <c r="I289" s="103"/>
    </row>
    <row r="290" spans="3:9" ht="42" customHeight="1" x14ac:dyDescent="0.25">
      <c r="C290" s="103"/>
      <c r="D290" s="103"/>
      <c r="F290" s="103"/>
      <c r="G290" s="103"/>
      <c r="H290" s="103"/>
      <c r="I290" s="103"/>
    </row>
    <row r="291" spans="3:9" ht="42" customHeight="1" x14ac:dyDescent="0.25">
      <c r="C291" s="103"/>
      <c r="D291" s="103"/>
      <c r="F291" s="103"/>
      <c r="G291" s="103"/>
      <c r="H291" s="103"/>
      <c r="I291" s="103"/>
    </row>
    <row r="292" spans="3:9" ht="42" customHeight="1" x14ac:dyDescent="0.25">
      <c r="C292" s="103"/>
      <c r="D292" s="103"/>
      <c r="F292" s="103"/>
      <c r="G292" s="103"/>
      <c r="H292" s="103"/>
      <c r="I292" s="103"/>
    </row>
    <row r="293" spans="3:9" ht="42" customHeight="1" x14ac:dyDescent="0.25">
      <c r="C293" s="103"/>
      <c r="D293" s="103"/>
      <c r="F293" s="103"/>
      <c r="G293" s="103"/>
      <c r="H293" s="103"/>
      <c r="I293" s="103"/>
    </row>
    <row r="294" spans="3:9" ht="42" customHeight="1" x14ac:dyDescent="0.25">
      <c r="C294" s="103"/>
      <c r="D294" s="103"/>
      <c r="F294" s="103"/>
      <c r="G294" s="103"/>
      <c r="H294" s="103"/>
      <c r="I294" s="103"/>
    </row>
    <row r="295" spans="3:9" ht="42" customHeight="1" x14ac:dyDescent="0.25">
      <c r="C295" s="103"/>
      <c r="D295" s="103"/>
      <c r="F295" s="103"/>
      <c r="G295" s="103"/>
      <c r="H295" s="103"/>
      <c r="I295" s="103"/>
    </row>
    <row r="296" spans="3:9" ht="42" customHeight="1" x14ac:dyDescent="0.25">
      <c r="C296" s="103"/>
      <c r="D296" s="103"/>
      <c r="F296" s="103"/>
      <c r="G296" s="103"/>
      <c r="H296" s="103"/>
      <c r="I296" s="103"/>
    </row>
    <row r="297" spans="3:9" ht="42" customHeight="1" x14ac:dyDescent="0.25">
      <c r="C297" s="103"/>
      <c r="D297" s="103"/>
      <c r="F297" s="103"/>
      <c r="G297" s="103"/>
      <c r="H297" s="103"/>
      <c r="I297" s="103"/>
    </row>
    <row r="298" spans="3:9" ht="42" customHeight="1" x14ac:dyDescent="0.25">
      <c r="C298" s="103"/>
      <c r="D298" s="103"/>
      <c r="F298" s="103"/>
      <c r="G298" s="103"/>
      <c r="H298" s="103"/>
      <c r="I298" s="103"/>
    </row>
    <row r="299" spans="3:9" ht="42" customHeight="1" x14ac:dyDescent="0.25">
      <c r="C299" s="103"/>
      <c r="D299" s="103"/>
      <c r="F299" s="103"/>
      <c r="G299" s="103"/>
      <c r="H299" s="103"/>
      <c r="I299" s="103"/>
    </row>
    <row r="300" spans="3:9" ht="42" customHeight="1" x14ac:dyDescent="0.25">
      <c r="C300" s="103"/>
      <c r="D300" s="103"/>
      <c r="F300" s="103"/>
      <c r="G300" s="103"/>
      <c r="H300" s="103"/>
      <c r="I300" s="103"/>
    </row>
    <row r="301" spans="3:9" ht="42" customHeight="1" x14ac:dyDescent="0.25">
      <c r="C301" s="103"/>
      <c r="D301" s="103"/>
      <c r="F301" s="103"/>
      <c r="G301" s="103"/>
      <c r="H301" s="103"/>
      <c r="I301" s="103"/>
    </row>
    <row r="302" spans="3:9" ht="42" customHeight="1" x14ac:dyDescent="0.25">
      <c r="C302" s="103"/>
      <c r="D302" s="103"/>
      <c r="F302" s="103"/>
      <c r="G302" s="103"/>
      <c r="H302" s="103"/>
      <c r="I302" s="103"/>
    </row>
    <row r="303" spans="3:9" ht="42" customHeight="1" x14ac:dyDescent="0.25">
      <c r="C303" s="103"/>
      <c r="D303" s="103"/>
      <c r="F303" s="103"/>
      <c r="G303" s="103"/>
      <c r="H303" s="103"/>
      <c r="I303" s="103"/>
    </row>
    <row r="304" spans="3:9" ht="42" customHeight="1" x14ac:dyDescent="0.25">
      <c r="C304" s="103"/>
      <c r="D304" s="103"/>
      <c r="F304" s="103"/>
      <c r="G304" s="103"/>
      <c r="H304" s="103"/>
      <c r="I304" s="103"/>
    </row>
    <row r="305" spans="3:9" ht="42" customHeight="1" x14ac:dyDescent="0.25">
      <c r="C305" s="103"/>
      <c r="D305" s="103"/>
      <c r="F305" s="103"/>
      <c r="G305" s="103"/>
      <c r="H305" s="103"/>
      <c r="I305" s="103"/>
    </row>
    <row r="306" spans="3:9" ht="42" customHeight="1" x14ac:dyDescent="0.25">
      <c r="C306" s="103"/>
      <c r="D306" s="103"/>
      <c r="F306" s="103"/>
      <c r="G306" s="103"/>
      <c r="H306" s="103"/>
      <c r="I306" s="103"/>
    </row>
    <row r="307" spans="3:9" ht="42" customHeight="1" x14ac:dyDescent="0.25">
      <c r="C307" s="103"/>
      <c r="D307" s="103"/>
      <c r="F307" s="103"/>
      <c r="G307" s="103"/>
      <c r="H307" s="103"/>
      <c r="I307" s="103"/>
    </row>
  </sheetData>
  <mergeCells count="16">
    <mergeCell ref="A1:M1"/>
    <mergeCell ref="J12:L12"/>
    <mergeCell ref="J11:L11"/>
    <mergeCell ref="J24:L24"/>
    <mergeCell ref="J25:L25"/>
    <mergeCell ref="J26:L26"/>
    <mergeCell ref="A28:N28"/>
    <mergeCell ref="J3:L3"/>
    <mergeCell ref="J4:L4"/>
    <mergeCell ref="J5:L5"/>
    <mergeCell ref="J13:L13"/>
    <mergeCell ref="J14:L14"/>
    <mergeCell ref="J15:L15"/>
    <mergeCell ref="J16:L16"/>
    <mergeCell ref="A17:N17"/>
    <mergeCell ref="A18:M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9"/>
  <sheetViews>
    <sheetView topLeftCell="A3" workbookViewId="0">
      <selection activeCell="G8" sqref="G8:O8"/>
    </sheetView>
  </sheetViews>
  <sheetFormatPr defaultColWidth="13.42578125" defaultRowHeight="11.25" x14ac:dyDescent="0.25"/>
  <cols>
    <col min="1" max="1" width="2.7109375" style="132" bestFit="1" customWidth="1"/>
    <col min="2" max="2" width="13.42578125" style="132" bestFit="1" customWidth="1"/>
    <col min="3" max="3" width="12.5703125" style="140" customWidth="1"/>
    <col min="4" max="4" width="17" style="140" bestFit="1" customWidth="1"/>
    <col min="5" max="5" width="18.140625" style="140" bestFit="1" customWidth="1"/>
    <col min="6" max="6" width="8.5703125" style="132" bestFit="1" customWidth="1"/>
    <col min="7" max="7" width="7.42578125" style="141" bestFit="1" customWidth="1"/>
    <col min="8" max="8" width="8.42578125" style="142" bestFit="1" customWidth="1"/>
    <col min="9" max="9" width="8.28515625" style="142" bestFit="1" customWidth="1"/>
    <col min="10" max="10" width="8.42578125" style="142" bestFit="1" customWidth="1"/>
    <col min="11" max="11" width="7.42578125" style="149" bestFit="1" customWidth="1"/>
    <col min="12" max="13" width="20.140625" style="132" customWidth="1"/>
    <col min="14" max="14" width="19.7109375" style="132" bestFit="1" customWidth="1"/>
    <col min="15" max="15" width="9.28515625" style="132" bestFit="1" customWidth="1"/>
    <col min="16" max="16384" width="13.42578125" style="132"/>
  </cols>
  <sheetData>
    <row r="1" spans="1:15" s="97" customFormat="1" ht="12.75" x14ac:dyDescent="0.25">
      <c r="A1" s="326" t="s">
        <v>665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143">
        <v>42877</v>
      </c>
    </row>
    <row r="2" spans="1:15" ht="33.75" x14ac:dyDescent="0.25">
      <c r="A2" s="127" t="s">
        <v>554</v>
      </c>
      <c r="B2" s="128" t="s">
        <v>3</v>
      </c>
      <c r="C2" s="127" t="s">
        <v>4</v>
      </c>
      <c r="D2" s="127" t="s">
        <v>5</v>
      </c>
      <c r="E2" s="127" t="s">
        <v>666</v>
      </c>
      <c r="F2" s="127" t="s">
        <v>6</v>
      </c>
      <c r="G2" s="129" t="s">
        <v>7</v>
      </c>
      <c r="H2" s="130" t="s">
        <v>667</v>
      </c>
      <c r="I2" s="131" t="s">
        <v>631</v>
      </c>
      <c r="J2" s="130" t="s">
        <v>632</v>
      </c>
      <c r="K2" s="146" t="s">
        <v>11</v>
      </c>
      <c r="L2" s="127" t="s">
        <v>12</v>
      </c>
      <c r="M2" s="127" t="s">
        <v>13</v>
      </c>
      <c r="N2" s="127" t="s">
        <v>14</v>
      </c>
      <c r="O2" s="127" t="s">
        <v>15</v>
      </c>
    </row>
    <row r="3" spans="1:15" ht="49.5" customHeight="1" x14ac:dyDescent="0.25">
      <c r="A3" s="133">
        <v>1</v>
      </c>
      <c r="B3" s="133" t="s">
        <v>560</v>
      </c>
      <c r="C3" s="134" t="s">
        <v>540</v>
      </c>
      <c r="D3" s="134" t="s">
        <v>561</v>
      </c>
      <c r="E3" s="134" t="s">
        <v>668</v>
      </c>
      <c r="F3" s="135" t="s">
        <v>542</v>
      </c>
      <c r="G3" s="136">
        <v>3500</v>
      </c>
      <c r="H3" s="137">
        <v>5306.04</v>
      </c>
      <c r="I3" s="137">
        <f>759.57+35.29+19.6+26.92+17.95</f>
        <v>859.33</v>
      </c>
      <c r="J3" s="137">
        <f>MIN(H3+I3,G3)</f>
        <v>3500</v>
      </c>
      <c r="K3" s="323" t="s">
        <v>562</v>
      </c>
      <c r="L3" s="324"/>
      <c r="M3" s="325"/>
      <c r="N3" s="134" t="s">
        <v>669</v>
      </c>
      <c r="O3" s="144" t="s">
        <v>705</v>
      </c>
    </row>
    <row r="4" spans="1:15" ht="49.5" customHeight="1" x14ac:dyDescent="0.25">
      <c r="A4" s="133">
        <v>2</v>
      </c>
      <c r="B4" s="133" t="s">
        <v>563</v>
      </c>
      <c r="C4" s="134" t="s">
        <v>540</v>
      </c>
      <c r="D4" s="134" t="s">
        <v>561</v>
      </c>
      <c r="E4" s="134" t="s">
        <v>670</v>
      </c>
      <c r="F4" s="135" t="s">
        <v>544</v>
      </c>
      <c r="G4" s="136">
        <v>18</v>
      </c>
      <c r="H4" s="137">
        <v>1518.13</v>
      </c>
      <c r="I4" s="137">
        <f>SUM(737.39+35.29+19.6+26.92+17.95)</f>
        <v>837.15</v>
      </c>
      <c r="J4" s="137">
        <f t="shared" ref="J4:J11" si="0">MIN(H4+I4,G4)</f>
        <v>18</v>
      </c>
      <c r="K4" s="323" t="s">
        <v>562</v>
      </c>
      <c r="L4" s="324"/>
      <c r="M4" s="325"/>
      <c r="N4" s="134" t="s">
        <v>669</v>
      </c>
      <c r="O4" s="144" t="s">
        <v>705</v>
      </c>
    </row>
    <row r="5" spans="1:15" ht="49.5" customHeight="1" x14ac:dyDescent="0.25">
      <c r="A5" s="133">
        <v>3</v>
      </c>
      <c r="B5" s="133" t="s">
        <v>582</v>
      </c>
      <c r="C5" s="134" t="s">
        <v>583</v>
      </c>
      <c r="D5" s="134" t="s">
        <v>584</v>
      </c>
      <c r="E5" s="134" t="s">
        <v>671</v>
      </c>
      <c r="F5" s="133" t="s">
        <v>585</v>
      </c>
      <c r="G5" s="136">
        <v>71840</v>
      </c>
      <c r="H5" s="137">
        <v>1173.1500000000001</v>
      </c>
      <c r="I5" s="137">
        <f>SUM(859+19.6+26.91+17.94)</f>
        <v>923.45</v>
      </c>
      <c r="J5" s="137">
        <f t="shared" si="0"/>
        <v>2096.6000000000004</v>
      </c>
      <c r="K5" s="147">
        <v>1100</v>
      </c>
      <c r="L5" s="138" t="s">
        <v>706</v>
      </c>
      <c r="M5" s="138" t="s">
        <v>707</v>
      </c>
      <c r="N5" s="134" t="s">
        <v>672</v>
      </c>
      <c r="O5" s="144" t="s">
        <v>705</v>
      </c>
    </row>
    <row r="6" spans="1:15" ht="49.5" customHeight="1" x14ac:dyDescent="0.25">
      <c r="A6" s="133">
        <v>4</v>
      </c>
      <c r="B6" s="133" t="s">
        <v>641</v>
      </c>
      <c r="C6" s="134" t="s">
        <v>642</v>
      </c>
      <c r="D6" s="138" t="s">
        <v>673</v>
      </c>
      <c r="E6" s="138" t="s">
        <v>674</v>
      </c>
      <c r="F6" s="136" t="s">
        <v>644</v>
      </c>
      <c r="G6" s="328" t="s">
        <v>590</v>
      </c>
      <c r="H6" s="329"/>
      <c r="I6" s="329"/>
      <c r="J6" s="329"/>
      <c r="K6" s="329"/>
      <c r="L6" s="329"/>
      <c r="M6" s="329"/>
      <c r="N6" s="329"/>
      <c r="O6" s="330"/>
    </row>
    <row r="7" spans="1:15" ht="49.5" customHeight="1" x14ac:dyDescent="0.25">
      <c r="A7" s="133">
        <v>5</v>
      </c>
      <c r="B7" s="133" t="s">
        <v>646</v>
      </c>
      <c r="C7" s="134" t="s">
        <v>647</v>
      </c>
      <c r="D7" s="138" t="s">
        <v>675</v>
      </c>
      <c r="E7" s="138" t="s">
        <v>676</v>
      </c>
      <c r="F7" s="136" t="s">
        <v>649</v>
      </c>
      <c r="G7" s="136">
        <v>327480</v>
      </c>
      <c r="H7" s="137">
        <v>36428.71</v>
      </c>
      <c r="I7" s="137">
        <f>SUM(1610.93+17.94)</f>
        <v>1628.8700000000001</v>
      </c>
      <c r="J7" s="137">
        <f t="shared" si="0"/>
        <v>38057.58</v>
      </c>
      <c r="K7" s="148">
        <v>1</v>
      </c>
      <c r="L7" s="138" t="s">
        <v>708</v>
      </c>
      <c r="M7" s="105" t="s">
        <v>120</v>
      </c>
      <c r="N7" s="134" t="s">
        <v>289</v>
      </c>
      <c r="O7" s="144" t="s">
        <v>705</v>
      </c>
    </row>
    <row r="8" spans="1:15" ht="49.5" customHeight="1" x14ac:dyDescent="0.25">
      <c r="A8" s="133">
        <v>6</v>
      </c>
      <c r="B8" s="133" t="s">
        <v>107</v>
      </c>
      <c r="C8" s="134" t="s">
        <v>650</v>
      </c>
      <c r="D8" s="138" t="s">
        <v>651</v>
      </c>
      <c r="E8" s="138" t="s">
        <v>677</v>
      </c>
      <c r="F8" s="136" t="s">
        <v>652</v>
      </c>
      <c r="G8" s="331" t="s">
        <v>678</v>
      </c>
      <c r="H8" s="332"/>
      <c r="I8" s="332"/>
      <c r="J8" s="332"/>
      <c r="K8" s="332"/>
      <c r="L8" s="332"/>
      <c r="M8" s="332"/>
      <c r="N8" s="332"/>
      <c r="O8" s="333"/>
    </row>
    <row r="9" spans="1:15" ht="49.5" customHeight="1" x14ac:dyDescent="0.25">
      <c r="A9" s="133">
        <v>7</v>
      </c>
      <c r="B9" s="133" t="s">
        <v>653</v>
      </c>
      <c r="C9" s="134" t="s">
        <v>654</v>
      </c>
      <c r="D9" s="138" t="s">
        <v>655</v>
      </c>
      <c r="E9" s="138" t="s">
        <v>679</v>
      </c>
      <c r="F9" s="136" t="s">
        <v>680</v>
      </c>
      <c r="G9" s="136">
        <v>30280</v>
      </c>
      <c r="H9" s="137">
        <v>3260.97</v>
      </c>
      <c r="I9" s="137">
        <f>SUM(899.33+17.94)</f>
        <v>917.2700000000001</v>
      </c>
      <c r="J9" s="137">
        <f t="shared" si="0"/>
        <v>4178.24</v>
      </c>
      <c r="K9" s="148">
        <v>1600</v>
      </c>
      <c r="L9" s="138" t="s">
        <v>709</v>
      </c>
      <c r="M9" s="137" t="s">
        <v>710</v>
      </c>
      <c r="N9" s="134" t="s">
        <v>289</v>
      </c>
      <c r="O9" s="144" t="s">
        <v>705</v>
      </c>
    </row>
    <row r="10" spans="1:15" ht="49.5" customHeight="1" x14ac:dyDescent="0.25">
      <c r="A10" s="133">
        <v>8</v>
      </c>
      <c r="B10" s="133" t="s">
        <v>657</v>
      </c>
      <c r="C10" s="134" t="s">
        <v>681</v>
      </c>
      <c r="D10" s="138" t="s">
        <v>659</v>
      </c>
      <c r="E10" s="138" t="s">
        <v>682</v>
      </c>
      <c r="F10" s="136" t="s">
        <v>660</v>
      </c>
      <c r="G10" s="136">
        <v>4960</v>
      </c>
      <c r="H10" s="137">
        <v>724.21</v>
      </c>
      <c r="I10" s="137">
        <f>SUM(1152.35+17.94)</f>
        <v>1170.29</v>
      </c>
      <c r="J10" s="137">
        <f t="shared" si="0"/>
        <v>1894.5</v>
      </c>
      <c r="K10" s="323" t="s">
        <v>562</v>
      </c>
      <c r="L10" s="324"/>
      <c r="M10" s="325"/>
      <c r="N10" s="134" t="s">
        <v>289</v>
      </c>
      <c r="O10" s="144" t="s">
        <v>705</v>
      </c>
    </row>
    <row r="11" spans="1:15" ht="49.5" customHeight="1" x14ac:dyDescent="0.25">
      <c r="A11" s="133">
        <v>9</v>
      </c>
      <c r="B11" s="133" t="s">
        <v>683</v>
      </c>
      <c r="C11" s="134" t="s">
        <v>684</v>
      </c>
      <c r="D11" s="134" t="s">
        <v>685</v>
      </c>
      <c r="E11" s="134" t="s">
        <v>686</v>
      </c>
      <c r="F11" s="133" t="s">
        <v>687</v>
      </c>
      <c r="G11" s="136">
        <v>6320</v>
      </c>
      <c r="H11" s="137">
        <v>2118.4499999999998</v>
      </c>
      <c r="I11" s="137">
        <f>SUM(1145.64+17.94)</f>
        <v>1163.5800000000002</v>
      </c>
      <c r="J11" s="137">
        <f t="shared" si="0"/>
        <v>3282.0299999999997</v>
      </c>
      <c r="K11" s="148">
        <v>2500</v>
      </c>
      <c r="L11" s="138" t="s">
        <v>711</v>
      </c>
      <c r="M11" s="137" t="s">
        <v>712</v>
      </c>
      <c r="N11" s="134" t="s">
        <v>289</v>
      </c>
      <c r="O11" s="144" t="s">
        <v>705</v>
      </c>
    </row>
    <row r="12" spans="1:15" ht="49.5" customHeight="1" x14ac:dyDescent="0.2">
      <c r="A12" s="133">
        <v>10</v>
      </c>
      <c r="B12" s="133" t="s">
        <v>688</v>
      </c>
      <c r="C12" s="134" t="s">
        <v>689</v>
      </c>
      <c r="D12" s="134" t="s">
        <v>690</v>
      </c>
      <c r="E12" s="139" t="s">
        <v>691</v>
      </c>
      <c r="F12" s="133" t="s">
        <v>692</v>
      </c>
      <c r="G12" s="133">
        <v>1340</v>
      </c>
      <c r="H12" s="133">
        <v>77</v>
      </c>
      <c r="I12" s="137">
        <f>1157.67+17.94</f>
        <v>1175.6100000000001</v>
      </c>
      <c r="J12" s="137">
        <f>MIN(H12+I12,G12)</f>
        <v>1252.6100000000001</v>
      </c>
      <c r="K12" s="148">
        <v>100</v>
      </c>
      <c r="L12" s="138" t="s">
        <v>713</v>
      </c>
      <c r="M12" s="133" t="s">
        <v>714</v>
      </c>
      <c r="N12" s="134" t="s">
        <v>289</v>
      </c>
      <c r="O12" s="144" t="s">
        <v>705</v>
      </c>
    </row>
    <row r="13" spans="1:15" ht="49.5" customHeight="1" x14ac:dyDescent="0.25">
      <c r="A13" s="133">
        <v>11</v>
      </c>
      <c r="B13" s="133" t="s">
        <v>693</v>
      </c>
      <c r="C13" s="134" t="s">
        <v>694</v>
      </c>
      <c r="D13" s="134" t="s">
        <v>695</v>
      </c>
      <c r="E13" s="134" t="s">
        <v>696</v>
      </c>
      <c r="F13" s="135" t="s">
        <v>697</v>
      </c>
      <c r="G13" s="136">
        <v>2470</v>
      </c>
      <c r="H13" s="137">
        <v>514.04999999999995</v>
      </c>
      <c r="I13" s="137">
        <f>SUM(1657.79+17.94)</f>
        <v>1675.73</v>
      </c>
      <c r="J13" s="137">
        <f>MIN(H13+I13,G13)</f>
        <v>2189.7799999999997</v>
      </c>
      <c r="K13" s="147">
        <v>1</v>
      </c>
      <c r="L13" s="138" t="s">
        <v>717</v>
      </c>
      <c r="M13" s="105" t="s">
        <v>120</v>
      </c>
      <c r="N13" s="134" t="s">
        <v>289</v>
      </c>
      <c r="O13" s="144" t="s">
        <v>705</v>
      </c>
    </row>
    <row r="14" spans="1:15" ht="49.5" customHeight="1" x14ac:dyDescent="0.25">
      <c r="A14" s="133">
        <v>12</v>
      </c>
      <c r="B14" s="133" t="s">
        <v>698</v>
      </c>
      <c r="C14" s="134" t="s">
        <v>699</v>
      </c>
      <c r="D14" s="134" t="s">
        <v>700</v>
      </c>
      <c r="E14" s="134" t="s">
        <v>701</v>
      </c>
      <c r="F14" s="135" t="s">
        <v>702</v>
      </c>
      <c r="G14" s="136">
        <v>5145</v>
      </c>
      <c r="H14" s="137">
        <v>3880.82</v>
      </c>
      <c r="I14" s="137">
        <f>SUM(1713.35+17.94)</f>
        <v>1731.29</v>
      </c>
      <c r="J14" s="137">
        <f t="shared" ref="J14" si="1">MIN(H14+I14,G14)</f>
        <v>5145</v>
      </c>
      <c r="K14" s="147">
        <v>1</v>
      </c>
      <c r="L14" s="138" t="s">
        <v>716</v>
      </c>
      <c r="M14" s="105" t="s">
        <v>120</v>
      </c>
      <c r="N14" s="134" t="s">
        <v>289</v>
      </c>
      <c r="O14" s="144" t="s">
        <v>705</v>
      </c>
    </row>
    <row r="15" spans="1:15" ht="49.5" customHeight="1" x14ac:dyDescent="0.25">
      <c r="A15" s="133">
        <v>13</v>
      </c>
      <c r="B15" s="133" t="s">
        <v>613</v>
      </c>
      <c r="C15" s="134" t="s">
        <v>614</v>
      </c>
      <c r="D15" s="138" t="s">
        <v>703</v>
      </c>
      <c r="E15" s="138" t="s">
        <v>704</v>
      </c>
      <c r="F15" s="137" t="s">
        <v>639</v>
      </c>
      <c r="G15" s="136">
        <v>525</v>
      </c>
      <c r="H15" s="137">
        <v>1407.71</v>
      </c>
      <c r="I15" s="137">
        <f>SUM(1599.28+17.94)</f>
        <v>1617.22</v>
      </c>
      <c r="J15" s="137">
        <f>MIN(H15+I15,G15)</f>
        <v>525</v>
      </c>
      <c r="K15" s="147">
        <v>1</v>
      </c>
      <c r="L15" s="138" t="s">
        <v>715</v>
      </c>
      <c r="M15" s="105" t="s">
        <v>120</v>
      </c>
      <c r="N15" s="134" t="s">
        <v>289</v>
      </c>
      <c r="O15" s="144" t="s">
        <v>705</v>
      </c>
    </row>
    <row r="16" spans="1:15" x14ac:dyDescent="0.25">
      <c r="A16" s="320" t="s">
        <v>645</v>
      </c>
      <c r="B16" s="321"/>
      <c r="C16" s="321"/>
      <c r="D16" s="321"/>
      <c r="E16" s="321"/>
      <c r="F16" s="321"/>
      <c r="G16" s="321"/>
      <c r="H16" s="321"/>
      <c r="I16" s="321"/>
      <c r="J16" s="321"/>
      <c r="K16" s="321"/>
      <c r="L16" s="321"/>
      <c r="M16" s="321"/>
      <c r="N16" s="321"/>
      <c r="O16" s="322"/>
    </row>
    <row r="17" spans="3:10" ht="42" customHeight="1" x14ac:dyDescent="0.25">
      <c r="C17" s="132"/>
      <c r="D17" s="132"/>
      <c r="E17" s="132"/>
      <c r="G17" s="132"/>
      <c r="H17" s="132"/>
      <c r="I17" s="132"/>
      <c r="J17" s="132"/>
    </row>
    <row r="18" spans="3:10" ht="42" customHeight="1" x14ac:dyDescent="0.25">
      <c r="C18" s="132"/>
      <c r="D18" s="132"/>
      <c r="E18" s="132"/>
      <c r="G18" s="132"/>
      <c r="H18" s="132"/>
      <c r="I18" s="132"/>
      <c r="J18" s="132"/>
    </row>
    <row r="19" spans="3:10" ht="42" customHeight="1" x14ac:dyDescent="0.25">
      <c r="C19" s="132"/>
      <c r="D19" s="132"/>
      <c r="E19" s="132"/>
      <c r="G19" s="132"/>
      <c r="H19" s="132"/>
      <c r="I19" s="132"/>
      <c r="J19" s="132"/>
    </row>
    <row r="20" spans="3:10" ht="42" customHeight="1" x14ac:dyDescent="0.25">
      <c r="C20" s="132"/>
      <c r="D20" s="132"/>
      <c r="E20" s="132"/>
      <c r="G20" s="132"/>
      <c r="H20" s="132"/>
      <c r="I20" s="132"/>
      <c r="J20" s="132"/>
    </row>
    <row r="21" spans="3:10" ht="42" customHeight="1" x14ac:dyDescent="0.25">
      <c r="C21" s="132"/>
      <c r="D21" s="132"/>
      <c r="E21" s="132"/>
      <c r="G21" s="132"/>
      <c r="H21" s="132"/>
      <c r="I21" s="132"/>
      <c r="J21" s="132"/>
    </row>
    <row r="22" spans="3:10" ht="42" customHeight="1" x14ac:dyDescent="0.25">
      <c r="C22" s="132"/>
      <c r="D22" s="132"/>
      <c r="E22" s="132"/>
      <c r="G22" s="132"/>
      <c r="H22" s="132"/>
      <c r="I22" s="132"/>
      <c r="J22" s="132"/>
    </row>
    <row r="23" spans="3:10" ht="42" customHeight="1" x14ac:dyDescent="0.25">
      <c r="C23" s="132"/>
      <c r="D23" s="132"/>
      <c r="E23" s="132"/>
      <c r="G23" s="132"/>
      <c r="H23" s="132"/>
      <c r="I23" s="132"/>
      <c r="J23" s="132"/>
    </row>
    <row r="24" spans="3:10" ht="42" customHeight="1" x14ac:dyDescent="0.25">
      <c r="C24" s="132"/>
      <c r="D24" s="132"/>
      <c r="E24" s="132"/>
      <c r="G24" s="132"/>
      <c r="H24" s="132"/>
      <c r="I24" s="132"/>
      <c r="J24" s="132"/>
    </row>
    <row r="25" spans="3:10" ht="42" customHeight="1" x14ac:dyDescent="0.25">
      <c r="C25" s="132"/>
      <c r="D25" s="132"/>
      <c r="E25" s="132"/>
      <c r="G25" s="132"/>
      <c r="H25" s="132"/>
      <c r="I25" s="132"/>
      <c r="J25" s="132"/>
    </row>
    <row r="26" spans="3:10" ht="42" customHeight="1" x14ac:dyDescent="0.25">
      <c r="C26" s="132"/>
      <c r="D26" s="132"/>
      <c r="E26" s="132"/>
      <c r="G26" s="132"/>
      <c r="H26" s="132"/>
      <c r="I26" s="132"/>
      <c r="J26" s="132"/>
    </row>
    <row r="27" spans="3:10" ht="42" customHeight="1" x14ac:dyDescent="0.25">
      <c r="C27" s="132"/>
      <c r="D27" s="132"/>
      <c r="E27" s="132"/>
      <c r="G27" s="132"/>
      <c r="H27" s="132"/>
      <c r="I27" s="132"/>
      <c r="J27" s="132"/>
    </row>
    <row r="28" spans="3:10" ht="42" customHeight="1" x14ac:dyDescent="0.25">
      <c r="C28" s="132"/>
      <c r="D28" s="132"/>
      <c r="E28" s="132"/>
      <c r="G28" s="132"/>
      <c r="H28" s="132"/>
      <c r="I28" s="132"/>
      <c r="J28" s="132"/>
    </row>
    <row r="29" spans="3:10" ht="42" customHeight="1" x14ac:dyDescent="0.25">
      <c r="C29" s="132"/>
      <c r="D29" s="132"/>
      <c r="E29" s="132"/>
      <c r="G29" s="132"/>
      <c r="H29" s="132"/>
      <c r="I29" s="132"/>
      <c r="J29" s="132"/>
    </row>
    <row r="30" spans="3:10" ht="42" customHeight="1" x14ac:dyDescent="0.25">
      <c r="C30" s="132"/>
      <c r="D30" s="132"/>
      <c r="E30" s="132"/>
      <c r="G30" s="132"/>
      <c r="H30" s="132"/>
      <c r="I30" s="132"/>
      <c r="J30" s="132"/>
    </row>
    <row r="31" spans="3:10" ht="42" customHeight="1" x14ac:dyDescent="0.25">
      <c r="C31" s="132"/>
      <c r="D31" s="132"/>
      <c r="E31" s="132"/>
      <c r="G31" s="132"/>
      <c r="H31" s="132"/>
      <c r="I31" s="132"/>
      <c r="J31" s="132"/>
    </row>
    <row r="32" spans="3:10" ht="42" customHeight="1" x14ac:dyDescent="0.25">
      <c r="C32" s="132"/>
      <c r="D32" s="132"/>
      <c r="E32" s="132"/>
      <c r="G32" s="132"/>
      <c r="H32" s="132"/>
      <c r="I32" s="132"/>
      <c r="J32" s="132"/>
    </row>
    <row r="33" spans="3:10" ht="42" customHeight="1" x14ac:dyDescent="0.25">
      <c r="C33" s="132"/>
      <c r="D33" s="132"/>
      <c r="E33" s="132"/>
      <c r="G33" s="132"/>
      <c r="H33" s="132"/>
      <c r="I33" s="132"/>
      <c r="J33" s="132"/>
    </row>
    <row r="34" spans="3:10" ht="42" customHeight="1" x14ac:dyDescent="0.25">
      <c r="C34" s="132"/>
      <c r="D34" s="132"/>
      <c r="E34" s="132"/>
      <c r="G34" s="132"/>
      <c r="H34" s="132"/>
      <c r="I34" s="132"/>
      <c r="J34" s="132"/>
    </row>
    <row r="35" spans="3:10" ht="42" customHeight="1" x14ac:dyDescent="0.25">
      <c r="C35" s="132"/>
      <c r="D35" s="132"/>
      <c r="E35" s="132"/>
      <c r="G35" s="132"/>
      <c r="H35" s="132"/>
      <c r="I35" s="132"/>
      <c r="J35" s="132"/>
    </row>
    <row r="36" spans="3:10" ht="42" customHeight="1" x14ac:dyDescent="0.25">
      <c r="C36" s="132"/>
      <c r="D36" s="132"/>
      <c r="E36" s="132"/>
      <c r="G36" s="132"/>
      <c r="H36" s="132"/>
      <c r="I36" s="132"/>
      <c r="J36" s="132"/>
    </row>
    <row r="37" spans="3:10" ht="42" customHeight="1" x14ac:dyDescent="0.25">
      <c r="C37" s="132"/>
      <c r="D37" s="132"/>
      <c r="E37" s="132"/>
      <c r="G37" s="132"/>
      <c r="H37" s="132"/>
      <c r="I37" s="132"/>
      <c r="J37" s="132"/>
    </row>
    <row r="38" spans="3:10" ht="42" customHeight="1" x14ac:dyDescent="0.25">
      <c r="C38" s="132"/>
      <c r="D38" s="132"/>
      <c r="E38" s="132"/>
      <c r="G38" s="132"/>
      <c r="H38" s="132"/>
      <c r="I38" s="132"/>
      <c r="J38" s="132"/>
    </row>
    <row r="39" spans="3:10" ht="42" customHeight="1" x14ac:dyDescent="0.25">
      <c r="C39" s="132"/>
      <c r="D39" s="132"/>
      <c r="E39" s="132"/>
      <c r="G39" s="132"/>
      <c r="H39" s="132"/>
      <c r="I39" s="132"/>
      <c r="J39" s="132"/>
    </row>
    <row r="40" spans="3:10" ht="42" customHeight="1" x14ac:dyDescent="0.25">
      <c r="C40" s="132"/>
      <c r="D40" s="132"/>
      <c r="E40" s="132"/>
      <c r="G40" s="132"/>
      <c r="H40" s="132"/>
      <c r="I40" s="132"/>
      <c r="J40" s="132"/>
    </row>
    <row r="41" spans="3:10" ht="42" customHeight="1" x14ac:dyDescent="0.25">
      <c r="C41" s="132"/>
      <c r="D41" s="132"/>
      <c r="E41" s="132"/>
      <c r="G41" s="132"/>
      <c r="H41" s="132"/>
      <c r="I41" s="132"/>
      <c r="J41" s="132"/>
    </row>
    <row r="42" spans="3:10" ht="42" customHeight="1" x14ac:dyDescent="0.25">
      <c r="C42" s="132"/>
      <c r="D42" s="132"/>
      <c r="E42" s="132"/>
      <c r="G42" s="132"/>
      <c r="H42" s="132"/>
      <c r="I42" s="132"/>
      <c r="J42" s="132"/>
    </row>
    <row r="43" spans="3:10" ht="42" customHeight="1" x14ac:dyDescent="0.25">
      <c r="C43" s="132"/>
      <c r="D43" s="132"/>
      <c r="E43" s="132"/>
      <c r="G43" s="132"/>
      <c r="H43" s="132"/>
      <c r="I43" s="132"/>
      <c r="J43" s="132"/>
    </row>
    <row r="44" spans="3:10" ht="42" customHeight="1" x14ac:dyDescent="0.25">
      <c r="C44" s="132"/>
      <c r="D44" s="132"/>
      <c r="E44" s="132"/>
      <c r="G44" s="132"/>
      <c r="H44" s="132"/>
      <c r="I44" s="132"/>
      <c r="J44" s="132"/>
    </row>
    <row r="45" spans="3:10" ht="42" customHeight="1" x14ac:dyDescent="0.25">
      <c r="C45" s="132"/>
      <c r="D45" s="132"/>
      <c r="E45" s="132"/>
      <c r="G45" s="132"/>
      <c r="H45" s="132"/>
      <c r="I45" s="132"/>
      <c r="J45" s="132"/>
    </row>
    <row r="46" spans="3:10" ht="42" customHeight="1" x14ac:dyDescent="0.25">
      <c r="C46" s="132"/>
      <c r="D46" s="132"/>
      <c r="E46" s="132"/>
      <c r="G46" s="132"/>
      <c r="H46" s="132"/>
      <c r="I46" s="132"/>
      <c r="J46" s="132"/>
    </row>
    <row r="47" spans="3:10" ht="42" customHeight="1" x14ac:dyDescent="0.25">
      <c r="C47" s="132"/>
      <c r="D47" s="132"/>
      <c r="E47" s="132"/>
      <c r="G47" s="132"/>
      <c r="H47" s="132"/>
      <c r="I47" s="132"/>
      <c r="J47" s="132"/>
    </row>
    <row r="48" spans="3:10" ht="42" customHeight="1" x14ac:dyDescent="0.25">
      <c r="C48" s="132"/>
      <c r="D48" s="132"/>
      <c r="E48" s="132"/>
      <c r="G48" s="132"/>
      <c r="H48" s="132"/>
      <c r="I48" s="132"/>
      <c r="J48" s="132"/>
    </row>
    <row r="49" spans="3:10" ht="42" customHeight="1" x14ac:dyDescent="0.25">
      <c r="C49" s="132"/>
      <c r="D49" s="132"/>
      <c r="E49" s="132"/>
      <c r="G49" s="132"/>
      <c r="H49" s="132"/>
      <c r="I49" s="132"/>
      <c r="J49" s="132"/>
    </row>
    <row r="50" spans="3:10" ht="42" customHeight="1" x14ac:dyDescent="0.25">
      <c r="C50" s="132"/>
      <c r="D50" s="132"/>
      <c r="E50" s="132"/>
      <c r="G50" s="132"/>
      <c r="H50" s="132"/>
      <c r="I50" s="132"/>
      <c r="J50" s="132"/>
    </row>
    <row r="51" spans="3:10" ht="42" customHeight="1" x14ac:dyDescent="0.25">
      <c r="C51" s="132"/>
      <c r="D51" s="132"/>
      <c r="E51" s="132"/>
      <c r="G51" s="132"/>
      <c r="H51" s="132"/>
      <c r="I51" s="132"/>
      <c r="J51" s="132"/>
    </row>
    <row r="52" spans="3:10" ht="42" customHeight="1" x14ac:dyDescent="0.25">
      <c r="C52" s="132"/>
      <c r="D52" s="132"/>
      <c r="E52" s="132"/>
      <c r="G52" s="132"/>
      <c r="H52" s="132"/>
      <c r="I52" s="132"/>
      <c r="J52" s="132"/>
    </row>
    <row r="53" spans="3:10" ht="42" customHeight="1" x14ac:dyDescent="0.25">
      <c r="C53" s="132"/>
      <c r="D53" s="132"/>
      <c r="E53" s="132"/>
      <c r="G53" s="132"/>
      <c r="H53" s="132"/>
      <c r="I53" s="132"/>
      <c r="J53" s="132"/>
    </row>
    <row r="54" spans="3:10" ht="42" customHeight="1" x14ac:dyDescent="0.25">
      <c r="C54" s="132"/>
      <c r="D54" s="132"/>
      <c r="E54" s="132"/>
      <c r="G54" s="132"/>
      <c r="H54" s="132"/>
      <c r="I54" s="132"/>
      <c r="J54" s="132"/>
    </row>
    <row r="55" spans="3:10" ht="42" customHeight="1" x14ac:dyDescent="0.25">
      <c r="C55" s="132"/>
      <c r="D55" s="132"/>
      <c r="E55" s="132"/>
      <c r="G55" s="132"/>
      <c r="H55" s="132"/>
      <c r="I55" s="132"/>
      <c r="J55" s="132"/>
    </row>
    <row r="56" spans="3:10" ht="42" customHeight="1" x14ac:dyDescent="0.25">
      <c r="C56" s="132"/>
      <c r="D56" s="132"/>
      <c r="E56" s="132"/>
      <c r="G56" s="132"/>
      <c r="H56" s="132"/>
      <c r="I56" s="132"/>
      <c r="J56" s="132"/>
    </row>
    <row r="57" spans="3:10" ht="42" customHeight="1" x14ac:dyDescent="0.25">
      <c r="C57" s="132"/>
      <c r="D57" s="132"/>
      <c r="E57" s="132"/>
      <c r="G57" s="132"/>
      <c r="H57" s="132"/>
      <c r="I57" s="132"/>
      <c r="J57" s="132"/>
    </row>
    <row r="58" spans="3:10" ht="42" customHeight="1" x14ac:dyDescent="0.25">
      <c r="C58" s="132"/>
      <c r="D58" s="132"/>
      <c r="E58" s="132"/>
      <c r="G58" s="132"/>
      <c r="H58" s="132"/>
      <c r="I58" s="132"/>
      <c r="J58" s="132"/>
    </row>
    <row r="59" spans="3:10" ht="42" customHeight="1" x14ac:dyDescent="0.25">
      <c r="C59" s="132"/>
      <c r="D59" s="132"/>
      <c r="E59" s="132"/>
      <c r="G59" s="132"/>
      <c r="H59" s="132"/>
      <c r="I59" s="132"/>
      <c r="J59" s="132"/>
    </row>
    <row r="60" spans="3:10" ht="42" customHeight="1" x14ac:dyDescent="0.25">
      <c r="C60" s="132"/>
      <c r="D60" s="132"/>
      <c r="E60" s="132"/>
      <c r="G60" s="132"/>
      <c r="H60" s="132"/>
      <c r="I60" s="132"/>
      <c r="J60" s="132"/>
    </row>
    <row r="61" spans="3:10" ht="42" customHeight="1" x14ac:dyDescent="0.25">
      <c r="C61" s="132"/>
      <c r="D61" s="132"/>
      <c r="E61" s="132"/>
      <c r="G61" s="132"/>
      <c r="H61" s="132"/>
      <c r="I61" s="132"/>
      <c r="J61" s="132"/>
    </row>
    <row r="62" spans="3:10" ht="42" customHeight="1" x14ac:dyDescent="0.25">
      <c r="C62" s="132"/>
      <c r="D62" s="132"/>
      <c r="E62" s="132"/>
      <c r="G62" s="132"/>
      <c r="H62" s="132"/>
      <c r="I62" s="132"/>
      <c r="J62" s="132"/>
    </row>
    <row r="63" spans="3:10" ht="42" customHeight="1" x14ac:dyDescent="0.25">
      <c r="C63" s="132"/>
      <c r="D63" s="132"/>
      <c r="E63" s="132"/>
      <c r="G63" s="132"/>
      <c r="H63" s="132"/>
      <c r="I63" s="132"/>
      <c r="J63" s="132"/>
    </row>
    <row r="64" spans="3:10" ht="42" customHeight="1" x14ac:dyDescent="0.25">
      <c r="C64" s="132"/>
      <c r="D64" s="132"/>
      <c r="E64" s="132"/>
      <c r="G64" s="132"/>
      <c r="H64" s="132"/>
      <c r="I64" s="132"/>
      <c r="J64" s="132"/>
    </row>
    <row r="65" spans="3:10" ht="42" customHeight="1" x14ac:dyDescent="0.25">
      <c r="C65" s="132"/>
      <c r="D65" s="132"/>
      <c r="E65" s="132"/>
      <c r="G65" s="132"/>
      <c r="H65" s="132"/>
      <c r="I65" s="132"/>
      <c r="J65" s="132"/>
    </row>
    <row r="66" spans="3:10" ht="42" customHeight="1" x14ac:dyDescent="0.25">
      <c r="C66" s="132"/>
      <c r="D66" s="132"/>
      <c r="E66" s="132"/>
      <c r="G66" s="132"/>
      <c r="H66" s="132"/>
      <c r="I66" s="132"/>
      <c r="J66" s="132"/>
    </row>
    <row r="67" spans="3:10" ht="42" customHeight="1" x14ac:dyDescent="0.25">
      <c r="C67" s="132"/>
      <c r="D67" s="132"/>
      <c r="E67" s="132"/>
      <c r="G67" s="132"/>
      <c r="H67" s="132"/>
      <c r="I67" s="132"/>
      <c r="J67" s="132"/>
    </row>
    <row r="68" spans="3:10" ht="42" customHeight="1" x14ac:dyDescent="0.25">
      <c r="C68" s="132"/>
      <c r="D68" s="132"/>
      <c r="E68" s="132"/>
      <c r="G68" s="132"/>
      <c r="H68" s="132"/>
      <c r="I68" s="132"/>
      <c r="J68" s="132"/>
    </row>
    <row r="69" spans="3:10" ht="42" customHeight="1" x14ac:dyDescent="0.25">
      <c r="C69" s="132"/>
      <c r="D69" s="132"/>
      <c r="E69" s="132"/>
      <c r="G69" s="132"/>
      <c r="H69" s="132"/>
      <c r="I69" s="132"/>
      <c r="J69" s="132"/>
    </row>
    <row r="70" spans="3:10" ht="42" customHeight="1" x14ac:dyDescent="0.25">
      <c r="C70" s="132"/>
      <c r="D70" s="132"/>
      <c r="E70" s="132"/>
      <c r="G70" s="132"/>
      <c r="H70" s="132"/>
      <c r="I70" s="132"/>
      <c r="J70" s="132"/>
    </row>
    <row r="71" spans="3:10" ht="42" customHeight="1" x14ac:dyDescent="0.25">
      <c r="C71" s="132"/>
      <c r="D71" s="132"/>
      <c r="E71" s="132"/>
      <c r="G71" s="132"/>
      <c r="H71" s="132"/>
      <c r="I71" s="132"/>
      <c r="J71" s="132"/>
    </row>
    <row r="72" spans="3:10" ht="42" customHeight="1" x14ac:dyDescent="0.25">
      <c r="C72" s="132"/>
      <c r="D72" s="132"/>
      <c r="E72" s="132"/>
      <c r="G72" s="132"/>
      <c r="H72" s="132"/>
      <c r="I72" s="132"/>
      <c r="J72" s="132"/>
    </row>
    <row r="73" spans="3:10" ht="42" customHeight="1" x14ac:dyDescent="0.25">
      <c r="C73" s="132"/>
      <c r="D73" s="132"/>
      <c r="E73" s="132"/>
      <c r="G73" s="132"/>
      <c r="H73" s="132"/>
      <c r="I73" s="132"/>
      <c r="J73" s="132"/>
    </row>
    <row r="74" spans="3:10" ht="42" customHeight="1" x14ac:dyDescent="0.25">
      <c r="C74" s="132"/>
      <c r="D74" s="132"/>
      <c r="E74" s="132"/>
      <c r="G74" s="132"/>
      <c r="H74" s="132"/>
      <c r="I74" s="132"/>
      <c r="J74" s="132"/>
    </row>
    <row r="75" spans="3:10" ht="42" customHeight="1" x14ac:dyDescent="0.25">
      <c r="C75" s="132"/>
      <c r="D75" s="132"/>
      <c r="E75" s="132"/>
      <c r="G75" s="132"/>
      <c r="H75" s="132"/>
      <c r="I75" s="132"/>
      <c r="J75" s="132"/>
    </row>
    <row r="76" spans="3:10" ht="42" customHeight="1" x14ac:dyDescent="0.25">
      <c r="C76" s="132"/>
      <c r="D76" s="132"/>
      <c r="E76" s="132"/>
      <c r="G76" s="132"/>
      <c r="H76" s="132"/>
      <c r="I76" s="132"/>
      <c r="J76" s="132"/>
    </row>
    <row r="77" spans="3:10" ht="42" customHeight="1" x14ac:dyDescent="0.25">
      <c r="C77" s="132"/>
      <c r="D77" s="132"/>
      <c r="E77" s="132"/>
      <c r="G77" s="132"/>
      <c r="H77" s="132"/>
      <c r="I77" s="132"/>
      <c r="J77" s="132"/>
    </row>
    <row r="78" spans="3:10" ht="42" customHeight="1" x14ac:dyDescent="0.25">
      <c r="C78" s="132"/>
      <c r="D78" s="132"/>
      <c r="E78" s="132"/>
      <c r="G78" s="132"/>
      <c r="H78" s="132"/>
      <c r="I78" s="132"/>
      <c r="J78" s="132"/>
    </row>
    <row r="79" spans="3:10" ht="42" customHeight="1" x14ac:dyDescent="0.25">
      <c r="C79" s="132"/>
      <c r="D79" s="132"/>
      <c r="E79" s="132"/>
      <c r="G79" s="132"/>
      <c r="H79" s="132"/>
      <c r="I79" s="132"/>
      <c r="J79" s="132"/>
    </row>
    <row r="80" spans="3:10" ht="42" customHeight="1" x14ac:dyDescent="0.25">
      <c r="C80" s="132"/>
      <c r="D80" s="132"/>
      <c r="E80" s="132"/>
      <c r="G80" s="132"/>
      <c r="H80" s="132"/>
      <c r="I80" s="132"/>
      <c r="J80" s="132"/>
    </row>
    <row r="81" spans="3:10" ht="42" customHeight="1" x14ac:dyDescent="0.25">
      <c r="C81" s="132"/>
      <c r="D81" s="132"/>
      <c r="E81" s="132"/>
      <c r="G81" s="132"/>
      <c r="H81" s="132"/>
      <c r="I81" s="132"/>
      <c r="J81" s="132"/>
    </row>
    <row r="82" spans="3:10" ht="42" customHeight="1" x14ac:dyDescent="0.25">
      <c r="C82" s="132"/>
      <c r="D82" s="132"/>
      <c r="E82" s="132"/>
      <c r="G82" s="132"/>
      <c r="H82" s="132"/>
      <c r="I82" s="132"/>
      <c r="J82" s="132"/>
    </row>
    <row r="83" spans="3:10" ht="42" customHeight="1" x14ac:dyDescent="0.25">
      <c r="C83" s="132"/>
      <c r="D83" s="132"/>
      <c r="E83" s="132"/>
      <c r="G83" s="132"/>
      <c r="H83" s="132"/>
      <c r="I83" s="132"/>
      <c r="J83" s="132"/>
    </row>
    <row r="84" spans="3:10" ht="42" customHeight="1" x14ac:dyDescent="0.25">
      <c r="C84" s="132"/>
      <c r="D84" s="132"/>
      <c r="E84" s="132"/>
      <c r="G84" s="132"/>
      <c r="H84" s="132"/>
      <c r="I84" s="132"/>
      <c r="J84" s="132"/>
    </row>
    <row r="85" spans="3:10" ht="42" customHeight="1" x14ac:dyDescent="0.25">
      <c r="C85" s="132"/>
      <c r="D85" s="132"/>
      <c r="E85" s="132"/>
      <c r="G85" s="132"/>
      <c r="H85" s="132"/>
      <c r="I85" s="132"/>
      <c r="J85" s="132"/>
    </row>
    <row r="86" spans="3:10" ht="42" customHeight="1" x14ac:dyDescent="0.25">
      <c r="C86" s="132"/>
      <c r="D86" s="132"/>
      <c r="E86" s="132"/>
      <c r="G86" s="132"/>
      <c r="H86" s="132"/>
      <c r="I86" s="132"/>
      <c r="J86" s="132"/>
    </row>
    <row r="87" spans="3:10" ht="42" customHeight="1" x14ac:dyDescent="0.25">
      <c r="C87" s="132"/>
      <c r="D87" s="132"/>
      <c r="E87" s="132"/>
      <c r="G87" s="132"/>
      <c r="H87" s="132"/>
      <c r="I87" s="132"/>
      <c r="J87" s="132"/>
    </row>
    <row r="88" spans="3:10" ht="42" customHeight="1" x14ac:dyDescent="0.25">
      <c r="C88" s="132"/>
      <c r="D88" s="132"/>
      <c r="E88" s="132"/>
      <c r="G88" s="132"/>
      <c r="H88" s="132"/>
      <c r="I88" s="132"/>
      <c r="J88" s="132"/>
    </row>
    <row r="89" spans="3:10" ht="42" customHeight="1" x14ac:dyDescent="0.25">
      <c r="C89" s="132"/>
      <c r="D89" s="132"/>
      <c r="E89" s="132"/>
      <c r="G89" s="132"/>
      <c r="H89" s="132"/>
      <c r="I89" s="132"/>
      <c r="J89" s="132"/>
    </row>
    <row r="90" spans="3:10" ht="42" customHeight="1" x14ac:dyDescent="0.25">
      <c r="C90" s="132"/>
      <c r="D90" s="132"/>
      <c r="E90" s="132"/>
      <c r="G90" s="132"/>
      <c r="H90" s="132"/>
      <c r="I90" s="132"/>
      <c r="J90" s="132"/>
    </row>
    <row r="91" spans="3:10" ht="42" customHeight="1" x14ac:dyDescent="0.25">
      <c r="C91" s="132"/>
      <c r="D91" s="132"/>
      <c r="E91" s="132"/>
      <c r="G91" s="132"/>
      <c r="H91" s="132"/>
      <c r="I91" s="132"/>
      <c r="J91" s="132"/>
    </row>
    <row r="92" spans="3:10" ht="42" customHeight="1" x14ac:dyDescent="0.25">
      <c r="C92" s="132"/>
      <c r="D92" s="132"/>
      <c r="E92" s="132"/>
      <c r="G92" s="132"/>
      <c r="H92" s="132"/>
      <c r="I92" s="132"/>
      <c r="J92" s="132"/>
    </row>
    <row r="93" spans="3:10" ht="42" customHeight="1" x14ac:dyDescent="0.25">
      <c r="C93" s="132"/>
      <c r="D93" s="132"/>
      <c r="E93" s="132"/>
      <c r="G93" s="132"/>
      <c r="H93" s="132"/>
      <c r="I93" s="132"/>
      <c r="J93" s="132"/>
    </row>
    <row r="94" spans="3:10" ht="42" customHeight="1" x14ac:dyDescent="0.25">
      <c r="C94" s="132"/>
      <c r="D94" s="132"/>
      <c r="E94" s="132"/>
      <c r="G94" s="132"/>
      <c r="H94" s="132"/>
      <c r="I94" s="132"/>
      <c r="J94" s="132"/>
    </row>
    <row r="95" spans="3:10" ht="42" customHeight="1" x14ac:dyDescent="0.25">
      <c r="C95" s="132"/>
      <c r="D95" s="132"/>
      <c r="E95" s="132"/>
      <c r="G95" s="132"/>
      <c r="H95" s="132"/>
      <c r="I95" s="132"/>
      <c r="J95" s="132"/>
    </row>
    <row r="96" spans="3:10" ht="42" customHeight="1" x14ac:dyDescent="0.25">
      <c r="C96" s="132"/>
      <c r="D96" s="132"/>
      <c r="E96" s="132"/>
      <c r="G96" s="132"/>
      <c r="H96" s="132"/>
      <c r="I96" s="132"/>
      <c r="J96" s="132"/>
    </row>
    <row r="97" spans="3:10" ht="42" customHeight="1" x14ac:dyDescent="0.25">
      <c r="C97" s="132"/>
      <c r="D97" s="132"/>
      <c r="E97" s="132"/>
      <c r="G97" s="132"/>
      <c r="H97" s="132"/>
      <c r="I97" s="132"/>
      <c r="J97" s="132"/>
    </row>
    <row r="98" spans="3:10" ht="42" customHeight="1" x14ac:dyDescent="0.25">
      <c r="C98" s="132"/>
      <c r="D98" s="132"/>
      <c r="E98" s="132"/>
      <c r="G98" s="132"/>
      <c r="H98" s="132"/>
      <c r="I98" s="132"/>
      <c r="J98" s="132"/>
    </row>
    <row r="99" spans="3:10" ht="42" customHeight="1" x14ac:dyDescent="0.25">
      <c r="C99" s="132"/>
      <c r="D99" s="132"/>
      <c r="E99" s="132"/>
      <c r="G99" s="132"/>
      <c r="H99" s="132"/>
      <c r="I99" s="132"/>
      <c r="J99" s="132"/>
    </row>
    <row r="100" spans="3:10" ht="42" customHeight="1" x14ac:dyDescent="0.25">
      <c r="C100" s="132"/>
      <c r="D100" s="132"/>
      <c r="E100" s="132"/>
      <c r="G100" s="132"/>
      <c r="H100" s="132"/>
      <c r="I100" s="132"/>
      <c r="J100" s="132"/>
    </row>
    <row r="101" spans="3:10" ht="42" customHeight="1" x14ac:dyDescent="0.25">
      <c r="C101" s="132"/>
      <c r="D101" s="132"/>
      <c r="E101" s="132"/>
      <c r="G101" s="132"/>
      <c r="H101" s="132"/>
      <c r="I101" s="132"/>
      <c r="J101" s="132"/>
    </row>
    <row r="102" spans="3:10" ht="42" customHeight="1" x14ac:dyDescent="0.25">
      <c r="C102" s="132"/>
      <c r="D102" s="132"/>
      <c r="E102" s="132"/>
      <c r="G102" s="132"/>
      <c r="H102" s="132"/>
      <c r="I102" s="132"/>
      <c r="J102" s="132"/>
    </row>
    <row r="103" spans="3:10" ht="42" customHeight="1" x14ac:dyDescent="0.25">
      <c r="C103" s="132"/>
      <c r="D103" s="132"/>
      <c r="E103" s="132"/>
      <c r="G103" s="132"/>
      <c r="H103" s="132"/>
      <c r="I103" s="132"/>
      <c r="J103" s="132"/>
    </row>
    <row r="104" spans="3:10" ht="42" customHeight="1" x14ac:dyDescent="0.25">
      <c r="C104" s="132"/>
      <c r="D104" s="132"/>
      <c r="E104" s="132"/>
      <c r="G104" s="132"/>
      <c r="H104" s="132"/>
      <c r="I104" s="132"/>
      <c r="J104" s="132"/>
    </row>
    <row r="105" spans="3:10" ht="42" customHeight="1" x14ac:dyDescent="0.25">
      <c r="C105" s="132"/>
      <c r="D105" s="132"/>
      <c r="E105" s="132"/>
      <c r="G105" s="132"/>
      <c r="H105" s="132"/>
      <c r="I105" s="132"/>
      <c r="J105" s="132"/>
    </row>
    <row r="106" spans="3:10" ht="42" customHeight="1" x14ac:dyDescent="0.25">
      <c r="C106" s="132"/>
      <c r="D106" s="132"/>
      <c r="E106" s="132"/>
      <c r="G106" s="132"/>
      <c r="H106" s="132"/>
      <c r="I106" s="132"/>
      <c r="J106" s="132"/>
    </row>
    <row r="107" spans="3:10" ht="42" customHeight="1" x14ac:dyDescent="0.25">
      <c r="C107" s="132"/>
      <c r="D107" s="132"/>
      <c r="E107" s="132"/>
      <c r="G107" s="132"/>
      <c r="H107" s="132"/>
      <c r="I107" s="132"/>
      <c r="J107" s="132"/>
    </row>
    <row r="108" spans="3:10" ht="42" customHeight="1" x14ac:dyDescent="0.25">
      <c r="C108" s="132"/>
      <c r="D108" s="132"/>
      <c r="E108" s="132"/>
      <c r="G108" s="132"/>
      <c r="H108" s="132"/>
      <c r="I108" s="132"/>
      <c r="J108" s="132"/>
    </row>
    <row r="109" spans="3:10" ht="42" customHeight="1" x14ac:dyDescent="0.25">
      <c r="C109" s="132"/>
      <c r="D109" s="132"/>
      <c r="E109" s="132"/>
      <c r="G109" s="132"/>
      <c r="H109" s="132"/>
      <c r="I109" s="132"/>
      <c r="J109" s="132"/>
    </row>
    <row r="110" spans="3:10" ht="42" customHeight="1" x14ac:dyDescent="0.25">
      <c r="C110" s="132"/>
      <c r="D110" s="132"/>
      <c r="E110" s="132"/>
      <c r="G110" s="132"/>
      <c r="H110" s="132"/>
      <c r="I110" s="132"/>
      <c r="J110" s="132"/>
    </row>
    <row r="111" spans="3:10" ht="42" customHeight="1" x14ac:dyDescent="0.25">
      <c r="C111" s="132"/>
      <c r="D111" s="132"/>
      <c r="E111" s="132"/>
      <c r="G111" s="132"/>
      <c r="H111" s="132"/>
      <c r="I111" s="132"/>
      <c r="J111" s="132"/>
    </row>
    <row r="112" spans="3:10" ht="42" customHeight="1" x14ac:dyDescent="0.25">
      <c r="C112" s="132"/>
      <c r="D112" s="132"/>
      <c r="E112" s="132"/>
      <c r="G112" s="132"/>
      <c r="H112" s="132"/>
      <c r="I112" s="132"/>
      <c r="J112" s="132"/>
    </row>
    <row r="113" spans="3:10" ht="42" customHeight="1" x14ac:dyDescent="0.25">
      <c r="C113" s="132"/>
      <c r="D113" s="132"/>
      <c r="E113" s="132"/>
      <c r="G113" s="132"/>
      <c r="H113" s="132"/>
      <c r="I113" s="132"/>
      <c r="J113" s="132"/>
    </row>
    <row r="114" spans="3:10" ht="42" customHeight="1" x14ac:dyDescent="0.25">
      <c r="C114" s="132"/>
      <c r="D114" s="132"/>
      <c r="E114" s="132"/>
      <c r="G114" s="132"/>
      <c r="H114" s="132"/>
      <c r="I114" s="132"/>
      <c r="J114" s="132"/>
    </row>
    <row r="115" spans="3:10" ht="42" customHeight="1" x14ac:dyDescent="0.25">
      <c r="C115" s="132"/>
      <c r="D115" s="132"/>
      <c r="E115" s="132"/>
      <c r="G115" s="132"/>
      <c r="H115" s="132"/>
      <c r="I115" s="132"/>
      <c r="J115" s="132"/>
    </row>
    <row r="116" spans="3:10" ht="42" customHeight="1" x14ac:dyDescent="0.25">
      <c r="C116" s="132"/>
      <c r="D116" s="132"/>
      <c r="E116" s="132"/>
      <c r="G116" s="132"/>
      <c r="H116" s="132"/>
      <c r="I116" s="132"/>
      <c r="J116" s="132"/>
    </row>
    <row r="117" spans="3:10" ht="42" customHeight="1" x14ac:dyDescent="0.25">
      <c r="C117" s="132"/>
      <c r="D117" s="132"/>
      <c r="E117" s="132"/>
      <c r="G117" s="132"/>
      <c r="H117" s="132"/>
      <c r="I117" s="132"/>
      <c r="J117" s="132"/>
    </row>
    <row r="118" spans="3:10" ht="42" customHeight="1" x14ac:dyDescent="0.25">
      <c r="C118" s="132"/>
      <c r="D118" s="132"/>
      <c r="E118" s="132"/>
      <c r="G118" s="132"/>
      <c r="H118" s="132"/>
      <c r="I118" s="132"/>
      <c r="J118" s="132"/>
    </row>
    <row r="119" spans="3:10" ht="42" customHeight="1" x14ac:dyDescent="0.25">
      <c r="C119" s="132"/>
      <c r="D119" s="132"/>
      <c r="E119" s="132"/>
      <c r="G119" s="132"/>
      <c r="H119" s="132"/>
      <c r="I119" s="132"/>
      <c r="J119" s="132"/>
    </row>
    <row r="120" spans="3:10" ht="42" customHeight="1" x14ac:dyDescent="0.25">
      <c r="C120" s="132"/>
      <c r="D120" s="132"/>
      <c r="E120" s="132"/>
      <c r="G120" s="132"/>
      <c r="H120" s="132"/>
      <c r="I120" s="132"/>
      <c r="J120" s="132"/>
    </row>
    <row r="121" spans="3:10" ht="42" customHeight="1" x14ac:dyDescent="0.25">
      <c r="C121" s="132"/>
      <c r="D121" s="132"/>
      <c r="E121" s="132"/>
      <c r="G121" s="132"/>
      <c r="H121" s="132"/>
      <c r="I121" s="132"/>
      <c r="J121" s="132"/>
    </row>
    <row r="122" spans="3:10" ht="42" customHeight="1" x14ac:dyDescent="0.25">
      <c r="C122" s="132"/>
      <c r="D122" s="132"/>
      <c r="E122" s="132"/>
      <c r="G122" s="132"/>
      <c r="H122" s="132"/>
      <c r="I122" s="132"/>
      <c r="J122" s="132"/>
    </row>
    <row r="123" spans="3:10" ht="42" customHeight="1" x14ac:dyDescent="0.25">
      <c r="C123" s="132"/>
      <c r="D123" s="132"/>
      <c r="E123" s="132"/>
      <c r="G123" s="132"/>
      <c r="H123" s="132"/>
      <c r="I123" s="132"/>
      <c r="J123" s="132"/>
    </row>
    <row r="124" spans="3:10" ht="42" customHeight="1" x14ac:dyDescent="0.25">
      <c r="C124" s="132"/>
      <c r="D124" s="132"/>
      <c r="E124" s="132"/>
      <c r="G124" s="132"/>
      <c r="H124" s="132"/>
      <c r="I124" s="132"/>
      <c r="J124" s="132"/>
    </row>
    <row r="125" spans="3:10" ht="42" customHeight="1" x14ac:dyDescent="0.25">
      <c r="C125" s="132"/>
      <c r="D125" s="132"/>
      <c r="E125" s="132"/>
      <c r="G125" s="132"/>
      <c r="H125" s="132"/>
      <c r="I125" s="132"/>
      <c r="J125" s="132"/>
    </row>
    <row r="126" spans="3:10" ht="42" customHeight="1" x14ac:dyDescent="0.25">
      <c r="C126" s="132"/>
      <c r="D126" s="132"/>
      <c r="E126" s="132"/>
      <c r="G126" s="132"/>
      <c r="H126" s="132"/>
      <c r="I126" s="132"/>
      <c r="J126" s="132"/>
    </row>
    <row r="127" spans="3:10" ht="42" customHeight="1" x14ac:dyDescent="0.25">
      <c r="C127" s="132"/>
      <c r="D127" s="132"/>
      <c r="E127" s="132"/>
      <c r="G127" s="132"/>
      <c r="H127" s="132"/>
      <c r="I127" s="132"/>
      <c r="J127" s="132"/>
    </row>
    <row r="128" spans="3:10" ht="42" customHeight="1" x14ac:dyDescent="0.25">
      <c r="C128" s="132"/>
      <c r="D128" s="132"/>
      <c r="E128" s="132"/>
      <c r="G128" s="132"/>
      <c r="H128" s="132"/>
      <c r="I128" s="132"/>
      <c r="J128" s="132"/>
    </row>
    <row r="129" spans="3:10" ht="42" customHeight="1" x14ac:dyDescent="0.25">
      <c r="C129" s="132"/>
      <c r="D129" s="132"/>
      <c r="E129" s="132"/>
      <c r="G129" s="132"/>
      <c r="H129" s="132"/>
      <c r="I129" s="132"/>
      <c r="J129" s="132"/>
    </row>
    <row r="130" spans="3:10" ht="42" customHeight="1" x14ac:dyDescent="0.25">
      <c r="C130" s="132"/>
      <c r="D130" s="132"/>
      <c r="E130" s="132"/>
      <c r="G130" s="132"/>
      <c r="H130" s="132"/>
      <c r="I130" s="132"/>
      <c r="J130" s="132"/>
    </row>
    <row r="131" spans="3:10" ht="42" customHeight="1" x14ac:dyDescent="0.25">
      <c r="C131" s="132"/>
      <c r="D131" s="132"/>
      <c r="E131" s="132"/>
      <c r="G131" s="132"/>
      <c r="H131" s="132"/>
      <c r="I131" s="132"/>
      <c r="J131" s="132"/>
    </row>
    <row r="132" spans="3:10" ht="42" customHeight="1" x14ac:dyDescent="0.25">
      <c r="C132" s="132"/>
      <c r="D132" s="132"/>
      <c r="E132" s="132"/>
      <c r="G132" s="132"/>
      <c r="H132" s="132"/>
      <c r="I132" s="132"/>
      <c r="J132" s="132"/>
    </row>
    <row r="133" spans="3:10" ht="42" customHeight="1" x14ac:dyDescent="0.25">
      <c r="C133" s="132"/>
      <c r="D133" s="132"/>
      <c r="E133" s="132"/>
      <c r="G133" s="132"/>
      <c r="H133" s="132"/>
      <c r="I133" s="132"/>
      <c r="J133" s="132"/>
    </row>
    <row r="134" spans="3:10" ht="42" customHeight="1" x14ac:dyDescent="0.25">
      <c r="C134" s="132"/>
      <c r="D134" s="132"/>
      <c r="E134" s="132"/>
      <c r="G134" s="132"/>
      <c r="H134" s="132"/>
      <c r="I134" s="132"/>
      <c r="J134" s="132"/>
    </row>
    <row r="135" spans="3:10" ht="42" customHeight="1" x14ac:dyDescent="0.25">
      <c r="C135" s="132"/>
      <c r="D135" s="132"/>
      <c r="E135" s="132"/>
      <c r="G135" s="132"/>
      <c r="H135" s="132"/>
      <c r="I135" s="132"/>
      <c r="J135" s="132"/>
    </row>
    <row r="136" spans="3:10" ht="42" customHeight="1" x14ac:dyDescent="0.25">
      <c r="C136" s="132"/>
      <c r="D136" s="132"/>
      <c r="E136" s="132"/>
      <c r="G136" s="132"/>
      <c r="H136" s="132"/>
      <c r="I136" s="132"/>
      <c r="J136" s="132"/>
    </row>
    <row r="137" spans="3:10" ht="42" customHeight="1" x14ac:dyDescent="0.25">
      <c r="C137" s="132"/>
      <c r="D137" s="132"/>
      <c r="E137" s="132"/>
      <c r="G137" s="132"/>
      <c r="H137" s="132"/>
      <c r="I137" s="132"/>
      <c r="J137" s="132"/>
    </row>
    <row r="138" spans="3:10" ht="42" customHeight="1" x14ac:dyDescent="0.25">
      <c r="C138" s="132"/>
      <c r="D138" s="132"/>
      <c r="E138" s="132"/>
      <c r="G138" s="132"/>
      <c r="H138" s="132"/>
      <c r="I138" s="132"/>
      <c r="J138" s="132"/>
    </row>
    <row r="139" spans="3:10" ht="42" customHeight="1" x14ac:dyDescent="0.25">
      <c r="C139" s="132"/>
      <c r="D139" s="132"/>
      <c r="E139" s="132"/>
      <c r="G139" s="132"/>
      <c r="H139" s="132"/>
      <c r="I139" s="132"/>
      <c r="J139" s="132"/>
    </row>
    <row r="140" spans="3:10" ht="42" customHeight="1" x14ac:dyDescent="0.25">
      <c r="C140" s="132"/>
      <c r="D140" s="132"/>
      <c r="E140" s="132"/>
      <c r="G140" s="132"/>
      <c r="H140" s="132"/>
      <c r="I140" s="132"/>
      <c r="J140" s="132"/>
    </row>
    <row r="141" spans="3:10" ht="42" customHeight="1" x14ac:dyDescent="0.25">
      <c r="C141" s="132"/>
      <c r="D141" s="132"/>
      <c r="E141" s="132"/>
      <c r="G141" s="132"/>
      <c r="H141" s="132"/>
      <c r="I141" s="132"/>
      <c r="J141" s="132"/>
    </row>
    <row r="142" spans="3:10" ht="42" customHeight="1" x14ac:dyDescent="0.25">
      <c r="C142" s="132"/>
      <c r="D142" s="132"/>
      <c r="E142" s="132"/>
      <c r="G142" s="132"/>
      <c r="H142" s="132"/>
      <c r="I142" s="132"/>
      <c r="J142" s="132"/>
    </row>
    <row r="143" spans="3:10" ht="42" customHeight="1" x14ac:dyDescent="0.25">
      <c r="C143" s="132"/>
      <c r="D143" s="132"/>
      <c r="E143" s="132"/>
      <c r="G143" s="132"/>
      <c r="H143" s="132"/>
      <c r="I143" s="132"/>
      <c r="J143" s="132"/>
    </row>
    <row r="144" spans="3:10" ht="42" customHeight="1" x14ac:dyDescent="0.25">
      <c r="C144" s="132"/>
      <c r="D144" s="132"/>
      <c r="E144" s="132"/>
      <c r="G144" s="132"/>
      <c r="H144" s="132"/>
      <c r="I144" s="132"/>
      <c r="J144" s="132"/>
    </row>
    <row r="145" spans="3:10" ht="42" customHeight="1" x14ac:dyDescent="0.25">
      <c r="C145" s="132"/>
      <c r="D145" s="132"/>
      <c r="E145" s="132"/>
      <c r="G145" s="132"/>
      <c r="H145" s="132"/>
      <c r="I145" s="132"/>
      <c r="J145" s="132"/>
    </row>
    <row r="146" spans="3:10" ht="42" customHeight="1" x14ac:dyDescent="0.25">
      <c r="C146" s="132"/>
      <c r="D146" s="132"/>
      <c r="E146" s="132"/>
      <c r="G146" s="132"/>
      <c r="H146" s="132"/>
      <c r="I146" s="132"/>
      <c r="J146" s="132"/>
    </row>
    <row r="147" spans="3:10" ht="42" customHeight="1" x14ac:dyDescent="0.25">
      <c r="C147" s="132"/>
      <c r="D147" s="132"/>
      <c r="E147" s="132"/>
      <c r="G147" s="132"/>
      <c r="H147" s="132"/>
      <c r="I147" s="132"/>
      <c r="J147" s="132"/>
    </row>
    <row r="148" spans="3:10" ht="42" customHeight="1" x14ac:dyDescent="0.25">
      <c r="C148" s="132"/>
      <c r="D148" s="132"/>
      <c r="E148" s="132"/>
      <c r="G148" s="132"/>
      <c r="H148" s="132"/>
      <c r="I148" s="132"/>
      <c r="J148" s="132"/>
    </row>
    <row r="149" spans="3:10" ht="42" customHeight="1" x14ac:dyDescent="0.25">
      <c r="C149" s="132"/>
      <c r="D149" s="132"/>
      <c r="E149" s="132"/>
      <c r="G149" s="132"/>
      <c r="H149" s="132"/>
      <c r="I149" s="132"/>
      <c r="J149" s="132"/>
    </row>
    <row r="150" spans="3:10" ht="42" customHeight="1" x14ac:dyDescent="0.25">
      <c r="C150" s="132"/>
      <c r="D150" s="132"/>
      <c r="E150" s="132"/>
      <c r="G150" s="132"/>
      <c r="H150" s="132"/>
      <c r="I150" s="132"/>
      <c r="J150" s="132"/>
    </row>
    <row r="151" spans="3:10" ht="42" customHeight="1" x14ac:dyDescent="0.25">
      <c r="C151" s="132"/>
      <c r="D151" s="132"/>
      <c r="E151" s="132"/>
      <c r="G151" s="132"/>
      <c r="H151" s="132"/>
      <c r="I151" s="132"/>
      <c r="J151" s="132"/>
    </row>
    <row r="152" spans="3:10" ht="42" customHeight="1" x14ac:dyDescent="0.25">
      <c r="C152" s="132"/>
      <c r="D152" s="132"/>
      <c r="E152" s="132"/>
      <c r="G152" s="132"/>
      <c r="H152" s="132"/>
      <c r="I152" s="132"/>
      <c r="J152" s="132"/>
    </row>
    <row r="153" spans="3:10" ht="42" customHeight="1" x14ac:dyDescent="0.25">
      <c r="C153" s="132"/>
      <c r="D153" s="132"/>
      <c r="E153" s="132"/>
      <c r="G153" s="132"/>
      <c r="H153" s="132"/>
      <c r="I153" s="132"/>
      <c r="J153" s="132"/>
    </row>
    <row r="154" spans="3:10" ht="42" customHeight="1" x14ac:dyDescent="0.25">
      <c r="C154" s="132"/>
      <c r="D154" s="132"/>
      <c r="E154" s="132"/>
      <c r="G154" s="132"/>
      <c r="H154" s="132"/>
      <c r="I154" s="132"/>
      <c r="J154" s="132"/>
    </row>
    <row r="155" spans="3:10" ht="42" customHeight="1" x14ac:dyDescent="0.25">
      <c r="C155" s="132"/>
      <c r="D155" s="132"/>
      <c r="E155" s="132"/>
      <c r="G155" s="132"/>
      <c r="H155" s="132"/>
      <c r="I155" s="132"/>
      <c r="J155" s="132"/>
    </row>
    <row r="156" spans="3:10" ht="42" customHeight="1" x14ac:dyDescent="0.25">
      <c r="C156" s="132"/>
      <c r="D156" s="132"/>
      <c r="E156" s="132"/>
      <c r="G156" s="132"/>
      <c r="H156" s="132"/>
      <c r="I156" s="132"/>
      <c r="J156" s="132"/>
    </row>
    <row r="157" spans="3:10" ht="42" customHeight="1" x14ac:dyDescent="0.25">
      <c r="C157" s="132"/>
      <c r="D157" s="132"/>
      <c r="E157" s="132"/>
      <c r="G157" s="132"/>
      <c r="H157" s="132"/>
      <c r="I157" s="132"/>
      <c r="J157" s="132"/>
    </row>
    <row r="158" spans="3:10" ht="42" customHeight="1" x14ac:dyDescent="0.25">
      <c r="C158" s="132"/>
      <c r="D158" s="132"/>
      <c r="E158" s="132"/>
      <c r="G158" s="132"/>
      <c r="H158" s="132"/>
      <c r="I158" s="132"/>
      <c r="J158" s="132"/>
    </row>
    <row r="159" spans="3:10" ht="42" customHeight="1" x14ac:dyDescent="0.25">
      <c r="C159" s="132"/>
      <c r="D159" s="132"/>
      <c r="E159" s="132"/>
      <c r="G159" s="132"/>
      <c r="H159" s="132"/>
      <c r="I159" s="132"/>
      <c r="J159" s="132"/>
    </row>
    <row r="160" spans="3:10" ht="42" customHeight="1" x14ac:dyDescent="0.25">
      <c r="C160" s="132"/>
      <c r="D160" s="132"/>
      <c r="E160" s="132"/>
      <c r="G160" s="132"/>
      <c r="H160" s="132"/>
      <c r="I160" s="132"/>
      <c r="J160" s="132"/>
    </row>
    <row r="161" spans="3:10" ht="42" customHeight="1" x14ac:dyDescent="0.25">
      <c r="C161" s="132"/>
      <c r="D161" s="132"/>
      <c r="E161" s="132"/>
      <c r="G161" s="132"/>
      <c r="H161" s="132"/>
      <c r="I161" s="132"/>
      <c r="J161" s="132"/>
    </row>
    <row r="162" spans="3:10" ht="42" customHeight="1" x14ac:dyDescent="0.25">
      <c r="C162" s="132"/>
      <c r="D162" s="132"/>
      <c r="E162" s="132"/>
      <c r="G162" s="132"/>
      <c r="H162" s="132"/>
      <c r="I162" s="132"/>
      <c r="J162" s="132"/>
    </row>
    <row r="163" spans="3:10" ht="42" customHeight="1" x14ac:dyDescent="0.25">
      <c r="C163" s="132"/>
      <c r="D163" s="132"/>
      <c r="E163" s="132"/>
      <c r="G163" s="132"/>
      <c r="H163" s="132"/>
      <c r="I163" s="132"/>
      <c r="J163" s="132"/>
    </row>
    <row r="164" spans="3:10" ht="42" customHeight="1" x14ac:dyDescent="0.25">
      <c r="C164" s="132"/>
      <c r="D164" s="132"/>
      <c r="E164" s="132"/>
      <c r="G164" s="132"/>
      <c r="H164" s="132"/>
      <c r="I164" s="132"/>
      <c r="J164" s="132"/>
    </row>
    <row r="165" spans="3:10" ht="42" customHeight="1" x14ac:dyDescent="0.25">
      <c r="C165" s="132"/>
      <c r="D165" s="132"/>
      <c r="E165" s="132"/>
      <c r="G165" s="132"/>
      <c r="H165" s="132"/>
      <c r="I165" s="132"/>
      <c r="J165" s="132"/>
    </row>
    <row r="166" spans="3:10" ht="42" customHeight="1" x14ac:dyDescent="0.25">
      <c r="C166" s="132"/>
      <c r="D166" s="132"/>
      <c r="E166" s="132"/>
      <c r="G166" s="132"/>
      <c r="H166" s="132"/>
      <c r="I166" s="132"/>
      <c r="J166" s="132"/>
    </row>
    <row r="167" spans="3:10" ht="42" customHeight="1" x14ac:dyDescent="0.25">
      <c r="C167" s="132"/>
      <c r="D167" s="132"/>
      <c r="E167" s="132"/>
      <c r="G167" s="132"/>
      <c r="H167" s="132"/>
      <c r="I167" s="132"/>
      <c r="J167" s="132"/>
    </row>
    <row r="168" spans="3:10" ht="42" customHeight="1" x14ac:dyDescent="0.25">
      <c r="C168" s="132"/>
      <c r="D168" s="132"/>
      <c r="E168" s="132"/>
      <c r="G168" s="132"/>
      <c r="H168" s="132"/>
      <c r="I168" s="132"/>
      <c r="J168" s="132"/>
    </row>
    <row r="169" spans="3:10" ht="42" customHeight="1" x14ac:dyDescent="0.25">
      <c r="C169" s="132"/>
      <c r="D169" s="132"/>
      <c r="E169" s="132"/>
      <c r="G169" s="132"/>
      <c r="H169" s="132"/>
      <c r="I169" s="132"/>
      <c r="J169" s="132"/>
    </row>
    <row r="170" spans="3:10" ht="42" customHeight="1" x14ac:dyDescent="0.25">
      <c r="C170" s="132"/>
      <c r="D170" s="132"/>
      <c r="E170" s="132"/>
      <c r="G170" s="132"/>
      <c r="H170" s="132"/>
      <c r="I170" s="132"/>
      <c r="J170" s="132"/>
    </row>
    <row r="171" spans="3:10" ht="42" customHeight="1" x14ac:dyDescent="0.25">
      <c r="C171" s="132"/>
      <c r="D171" s="132"/>
      <c r="E171" s="132"/>
      <c r="G171" s="132"/>
      <c r="H171" s="132"/>
      <c r="I171" s="132"/>
      <c r="J171" s="132"/>
    </row>
    <row r="172" spans="3:10" ht="42" customHeight="1" x14ac:dyDescent="0.25">
      <c r="C172" s="132"/>
      <c r="D172" s="132"/>
      <c r="E172" s="132"/>
      <c r="G172" s="132"/>
      <c r="H172" s="132"/>
      <c r="I172" s="132"/>
      <c r="J172" s="132"/>
    </row>
    <row r="173" spans="3:10" ht="42" customHeight="1" x14ac:dyDescent="0.25">
      <c r="C173" s="132"/>
      <c r="D173" s="132"/>
      <c r="E173" s="132"/>
      <c r="G173" s="132"/>
      <c r="H173" s="132"/>
      <c r="I173" s="132"/>
      <c r="J173" s="132"/>
    </row>
    <row r="174" spans="3:10" ht="42" customHeight="1" x14ac:dyDescent="0.25">
      <c r="C174" s="132"/>
      <c r="D174" s="132"/>
      <c r="E174" s="132"/>
      <c r="G174" s="132"/>
      <c r="H174" s="132"/>
      <c r="I174" s="132"/>
      <c r="J174" s="132"/>
    </row>
    <row r="175" spans="3:10" ht="42" customHeight="1" x14ac:dyDescent="0.25">
      <c r="C175" s="132"/>
      <c r="D175" s="132"/>
      <c r="E175" s="132"/>
      <c r="G175" s="132"/>
      <c r="H175" s="132"/>
      <c r="I175" s="132"/>
      <c r="J175" s="132"/>
    </row>
    <row r="176" spans="3:10" ht="42" customHeight="1" x14ac:dyDescent="0.25">
      <c r="C176" s="132"/>
      <c r="D176" s="132"/>
      <c r="E176" s="132"/>
      <c r="G176" s="132"/>
      <c r="H176" s="132"/>
      <c r="I176" s="132"/>
      <c r="J176" s="132"/>
    </row>
    <row r="177" spans="3:10" ht="42" customHeight="1" x14ac:dyDescent="0.25">
      <c r="C177" s="132"/>
      <c r="D177" s="132"/>
      <c r="E177" s="132"/>
      <c r="G177" s="132"/>
      <c r="H177" s="132"/>
      <c r="I177" s="132"/>
      <c r="J177" s="132"/>
    </row>
    <row r="178" spans="3:10" ht="42" customHeight="1" x14ac:dyDescent="0.25">
      <c r="C178" s="132"/>
      <c r="D178" s="132"/>
      <c r="E178" s="132"/>
      <c r="G178" s="132"/>
      <c r="H178" s="132"/>
      <c r="I178" s="132"/>
      <c r="J178" s="132"/>
    </row>
    <row r="179" spans="3:10" ht="42" customHeight="1" x14ac:dyDescent="0.25">
      <c r="C179" s="132"/>
      <c r="D179" s="132"/>
      <c r="E179" s="132"/>
      <c r="G179" s="132"/>
      <c r="H179" s="132"/>
      <c r="I179" s="132"/>
      <c r="J179" s="132"/>
    </row>
    <row r="180" spans="3:10" ht="42" customHeight="1" x14ac:dyDescent="0.25">
      <c r="C180" s="132"/>
      <c r="D180" s="132"/>
      <c r="E180" s="132"/>
      <c r="G180" s="132"/>
      <c r="H180" s="132"/>
      <c r="I180" s="132"/>
      <c r="J180" s="132"/>
    </row>
    <row r="181" spans="3:10" ht="42" customHeight="1" x14ac:dyDescent="0.25">
      <c r="C181" s="132"/>
      <c r="D181" s="132"/>
      <c r="E181" s="132"/>
      <c r="G181" s="132"/>
      <c r="H181" s="132"/>
      <c r="I181" s="132"/>
      <c r="J181" s="132"/>
    </row>
    <row r="182" spans="3:10" ht="42" customHeight="1" x14ac:dyDescent="0.25">
      <c r="C182" s="132"/>
      <c r="D182" s="132"/>
      <c r="E182" s="132"/>
      <c r="G182" s="132"/>
      <c r="H182" s="132"/>
      <c r="I182" s="132"/>
      <c r="J182" s="132"/>
    </row>
    <row r="183" spans="3:10" ht="42" customHeight="1" x14ac:dyDescent="0.25">
      <c r="C183" s="132"/>
      <c r="D183" s="132"/>
      <c r="E183" s="132"/>
      <c r="G183" s="132"/>
      <c r="H183" s="132"/>
      <c r="I183" s="132"/>
      <c r="J183" s="132"/>
    </row>
    <row r="184" spans="3:10" ht="42" customHeight="1" x14ac:dyDescent="0.25">
      <c r="C184" s="132"/>
      <c r="D184" s="132"/>
      <c r="E184" s="132"/>
      <c r="G184" s="132"/>
      <c r="H184" s="132"/>
      <c r="I184" s="132"/>
      <c r="J184" s="132"/>
    </row>
    <row r="185" spans="3:10" ht="42" customHeight="1" x14ac:dyDescent="0.25">
      <c r="C185" s="132"/>
      <c r="D185" s="132"/>
      <c r="E185" s="132"/>
      <c r="G185" s="132"/>
      <c r="H185" s="132"/>
      <c r="I185" s="132"/>
      <c r="J185" s="132"/>
    </row>
    <row r="186" spans="3:10" ht="42" customHeight="1" x14ac:dyDescent="0.25">
      <c r="C186" s="132"/>
      <c r="D186" s="132"/>
      <c r="E186" s="132"/>
      <c r="G186" s="132"/>
      <c r="H186" s="132"/>
      <c r="I186" s="132"/>
      <c r="J186" s="132"/>
    </row>
    <row r="187" spans="3:10" ht="42" customHeight="1" x14ac:dyDescent="0.25">
      <c r="C187" s="132"/>
      <c r="D187" s="132"/>
      <c r="E187" s="132"/>
      <c r="G187" s="132"/>
      <c r="H187" s="132"/>
      <c r="I187" s="132"/>
      <c r="J187" s="132"/>
    </row>
    <row r="188" spans="3:10" ht="42" customHeight="1" x14ac:dyDescent="0.25">
      <c r="C188" s="132"/>
      <c r="D188" s="132"/>
      <c r="E188" s="132"/>
      <c r="G188" s="132"/>
      <c r="H188" s="132"/>
      <c r="I188" s="132"/>
      <c r="J188" s="132"/>
    </row>
    <row r="189" spans="3:10" ht="42" customHeight="1" x14ac:dyDescent="0.25">
      <c r="C189" s="132"/>
      <c r="D189" s="132"/>
      <c r="E189" s="132"/>
      <c r="G189" s="132"/>
      <c r="H189" s="132"/>
      <c r="I189" s="132"/>
      <c r="J189" s="132"/>
    </row>
    <row r="190" spans="3:10" ht="42" customHeight="1" x14ac:dyDescent="0.25">
      <c r="C190" s="132"/>
      <c r="D190" s="132"/>
      <c r="E190" s="132"/>
      <c r="G190" s="132"/>
      <c r="H190" s="132"/>
      <c r="I190" s="132"/>
      <c r="J190" s="132"/>
    </row>
    <row r="191" spans="3:10" ht="42" customHeight="1" x14ac:dyDescent="0.25">
      <c r="C191" s="132"/>
      <c r="D191" s="132"/>
      <c r="E191" s="132"/>
      <c r="G191" s="132"/>
      <c r="H191" s="132"/>
      <c r="I191" s="132"/>
      <c r="J191" s="132"/>
    </row>
    <row r="192" spans="3:10" ht="42" customHeight="1" x14ac:dyDescent="0.25">
      <c r="C192" s="132"/>
      <c r="D192" s="132"/>
      <c r="E192" s="132"/>
      <c r="G192" s="132"/>
      <c r="H192" s="132"/>
      <c r="I192" s="132"/>
      <c r="J192" s="132"/>
    </row>
    <row r="193" spans="3:10" ht="42" customHeight="1" x14ac:dyDescent="0.25">
      <c r="C193" s="132"/>
      <c r="D193" s="132"/>
      <c r="E193" s="132"/>
      <c r="G193" s="132"/>
      <c r="H193" s="132"/>
      <c r="I193" s="132"/>
      <c r="J193" s="132"/>
    </row>
    <row r="194" spans="3:10" ht="42" customHeight="1" x14ac:dyDescent="0.25">
      <c r="C194" s="132"/>
      <c r="D194" s="132"/>
      <c r="E194" s="132"/>
      <c r="G194" s="132"/>
      <c r="H194" s="132"/>
      <c r="I194" s="132"/>
      <c r="J194" s="132"/>
    </row>
    <row r="195" spans="3:10" ht="42" customHeight="1" x14ac:dyDescent="0.25">
      <c r="C195" s="132"/>
      <c r="D195" s="132"/>
      <c r="E195" s="132"/>
      <c r="G195" s="132"/>
      <c r="H195" s="132"/>
      <c r="I195" s="132"/>
      <c r="J195" s="132"/>
    </row>
    <row r="196" spans="3:10" ht="42" customHeight="1" x14ac:dyDescent="0.25">
      <c r="C196" s="132"/>
      <c r="D196" s="132"/>
      <c r="E196" s="132"/>
      <c r="G196" s="132"/>
      <c r="H196" s="132"/>
      <c r="I196" s="132"/>
      <c r="J196" s="132"/>
    </row>
    <row r="197" spans="3:10" ht="42" customHeight="1" x14ac:dyDescent="0.25">
      <c r="C197" s="132"/>
      <c r="D197" s="132"/>
      <c r="E197" s="132"/>
      <c r="G197" s="132"/>
      <c r="H197" s="132"/>
      <c r="I197" s="132"/>
      <c r="J197" s="132"/>
    </row>
    <row r="198" spans="3:10" ht="42" customHeight="1" x14ac:dyDescent="0.25">
      <c r="C198" s="132"/>
      <c r="D198" s="132"/>
      <c r="E198" s="132"/>
      <c r="G198" s="132"/>
      <c r="H198" s="132"/>
      <c r="I198" s="132"/>
      <c r="J198" s="132"/>
    </row>
    <row r="199" spans="3:10" ht="42" customHeight="1" x14ac:dyDescent="0.25">
      <c r="C199" s="132"/>
      <c r="D199" s="132"/>
      <c r="E199" s="132"/>
      <c r="G199" s="132"/>
      <c r="H199" s="132"/>
      <c r="I199" s="132"/>
      <c r="J199" s="132"/>
    </row>
    <row r="200" spans="3:10" ht="42" customHeight="1" x14ac:dyDescent="0.25">
      <c r="C200" s="132"/>
      <c r="D200" s="132"/>
      <c r="E200" s="132"/>
      <c r="G200" s="132"/>
      <c r="H200" s="132"/>
      <c r="I200" s="132"/>
      <c r="J200" s="132"/>
    </row>
    <row r="201" spans="3:10" ht="42" customHeight="1" x14ac:dyDescent="0.25">
      <c r="C201" s="132"/>
      <c r="D201" s="132"/>
      <c r="E201" s="132"/>
      <c r="G201" s="132"/>
      <c r="H201" s="132"/>
      <c r="I201" s="132"/>
      <c r="J201" s="132"/>
    </row>
    <row r="202" spans="3:10" ht="42" customHeight="1" x14ac:dyDescent="0.25">
      <c r="C202" s="132"/>
      <c r="D202" s="132"/>
      <c r="E202" s="132"/>
      <c r="G202" s="132"/>
      <c r="H202" s="132"/>
      <c r="I202" s="132"/>
      <c r="J202" s="132"/>
    </row>
    <row r="203" spans="3:10" ht="42" customHeight="1" x14ac:dyDescent="0.25">
      <c r="C203" s="132"/>
      <c r="D203" s="132"/>
      <c r="E203" s="132"/>
      <c r="G203" s="132"/>
      <c r="H203" s="132"/>
      <c r="I203" s="132"/>
      <c r="J203" s="132"/>
    </row>
    <row r="204" spans="3:10" ht="42" customHeight="1" x14ac:dyDescent="0.25">
      <c r="C204" s="132"/>
      <c r="D204" s="132"/>
      <c r="E204" s="132"/>
      <c r="G204" s="132"/>
      <c r="H204" s="132"/>
      <c r="I204" s="132"/>
      <c r="J204" s="132"/>
    </row>
    <row r="205" spans="3:10" ht="42" customHeight="1" x14ac:dyDescent="0.25">
      <c r="C205" s="132"/>
      <c r="D205" s="132"/>
      <c r="E205" s="132"/>
      <c r="G205" s="132"/>
      <c r="H205" s="132"/>
      <c r="I205" s="132"/>
      <c r="J205" s="132"/>
    </row>
    <row r="206" spans="3:10" ht="42" customHeight="1" x14ac:dyDescent="0.25">
      <c r="C206" s="132"/>
      <c r="D206" s="132"/>
      <c r="E206" s="132"/>
      <c r="G206" s="132"/>
      <c r="H206" s="132"/>
      <c r="I206" s="132"/>
      <c r="J206" s="132"/>
    </row>
    <row r="207" spans="3:10" ht="42" customHeight="1" x14ac:dyDescent="0.25">
      <c r="C207" s="132"/>
      <c r="D207" s="132"/>
      <c r="E207" s="132"/>
      <c r="G207" s="132"/>
      <c r="H207" s="132"/>
      <c r="I207" s="132"/>
      <c r="J207" s="132"/>
    </row>
    <row r="208" spans="3:10" ht="42" customHeight="1" x14ac:dyDescent="0.25">
      <c r="C208" s="132"/>
      <c r="D208" s="132"/>
      <c r="E208" s="132"/>
      <c r="G208" s="132"/>
      <c r="H208" s="132"/>
      <c r="I208" s="132"/>
      <c r="J208" s="132"/>
    </row>
    <row r="209" spans="3:10" ht="42" customHeight="1" x14ac:dyDescent="0.25">
      <c r="C209" s="132"/>
      <c r="D209" s="132"/>
      <c r="E209" s="132"/>
      <c r="G209" s="132"/>
      <c r="H209" s="132"/>
      <c r="I209" s="132"/>
      <c r="J209" s="132"/>
    </row>
    <row r="210" spans="3:10" ht="42" customHeight="1" x14ac:dyDescent="0.25">
      <c r="C210" s="132"/>
      <c r="D210" s="132"/>
      <c r="E210" s="132"/>
      <c r="G210" s="132"/>
      <c r="H210" s="132"/>
      <c r="I210" s="132"/>
      <c r="J210" s="132"/>
    </row>
    <row r="211" spans="3:10" ht="42" customHeight="1" x14ac:dyDescent="0.25">
      <c r="C211" s="132"/>
      <c r="D211" s="132"/>
      <c r="E211" s="132"/>
      <c r="G211" s="132"/>
      <c r="H211" s="132"/>
      <c r="I211" s="132"/>
      <c r="J211" s="132"/>
    </row>
    <row r="212" spans="3:10" ht="42" customHeight="1" x14ac:dyDescent="0.25">
      <c r="C212" s="132"/>
      <c r="D212" s="132"/>
      <c r="E212" s="132"/>
      <c r="G212" s="132"/>
      <c r="H212" s="132"/>
      <c r="I212" s="132"/>
      <c r="J212" s="132"/>
    </row>
    <row r="213" spans="3:10" ht="42" customHeight="1" x14ac:dyDescent="0.25">
      <c r="C213" s="132"/>
      <c r="D213" s="132"/>
      <c r="E213" s="132"/>
      <c r="G213" s="132"/>
      <c r="H213" s="132"/>
      <c r="I213" s="132"/>
      <c r="J213" s="132"/>
    </row>
    <row r="214" spans="3:10" ht="42" customHeight="1" x14ac:dyDescent="0.25">
      <c r="C214" s="132"/>
      <c r="D214" s="132"/>
      <c r="E214" s="132"/>
      <c r="G214" s="132"/>
      <c r="H214" s="132"/>
      <c r="I214" s="132"/>
      <c r="J214" s="132"/>
    </row>
    <row r="215" spans="3:10" ht="42" customHeight="1" x14ac:dyDescent="0.25">
      <c r="C215" s="132"/>
      <c r="D215" s="132"/>
      <c r="E215" s="132"/>
      <c r="G215" s="132"/>
      <c r="H215" s="132"/>
      <c r="I215" s="132"/>
      <c r="J215" s="132"/>
    </row>
    <row r="216" spans="3:10" ht="42" customHeight="1" x14ac:dyDescent="0.25">
      <c r="C216" s="132"/>
      <c r="D216" s="132"/>
      <c r="E216" s="132"/>
      <c r="G216" s="132"/>
      <c r="H216" s="132"/>
      <c r="I216" s="132"/>
      <c r="J216" s="132"/>
    </row>
    <row r="217" spans="3:10" ht="42" customHeight="1" x14ac:dyDescent="0.25">
      <c r="C217" s="132"/>
      <c r="D217" s="132"/>
      <c r="E217" s="132"/>
      <c r="G217" s="132"/>
      <c r="H217" s="132"/>
      <c r="I217" s="132"/>
      <c r="J217" s="132"/>
    </row>
    <row r="218" spans="3:10" ht="42" customHeight="1" x14ac:dyDescent="0.25">
      <c r="C218" s="132"/>
      <c r="D218" s="132"/>
      <c r="E218" s="132"/>
      <c r="G218" s="132"/>
      <c r="H218" s="132"/>
      <c r="I218" s="132"/>
      <c r="J218" s="132"/>
    </row>
    <row r="219" spans="3:10" ht="42" customHeight="1" x14ac:dyDescent="0.25">
      <c r="C219" s="132"/>
      <c r="D219" s="132"/>
      <c r="E219" s="132"/>
      <c r="G219" s="132"/>
      <c r="H219" s="132"/>
      <c r="I219" s="132"/>
      <c r="J219" s="132"/>
    </row>
    <row r="220" spans="3:10" ht="42" customHeight="1" x14ac:dyDescent="0.25">
      <c r="C220" s="132"/>
      <c r="D220" s="132"/>
      <c r="E220" s="132"/>
      <c r="G220" s="132"/>
      <c r="H220" s="132"/>
      <c r="I220" s="132"/>
      <c r="J220" s="132"/>
    </row>
    <row r="221" spans="3:10" ht="42" customHeight="1" x14ac:dyDescent="0.25">
      <c r="C221" s="132"/>
      <c r="D221" s="132"/>
      <c r="E221" s="132"/>
      <c r="G221" s="132"/>
      <c r="H221" s="132"/>
      <c r="I221" s="132"/>
      <c r="J221" s="132"/>
    </row>
    <row r="222" spans="3:10" ht="42" customHeight="1" x14ac:dyDescent="0.25">
      <c r="C222" s="132"/>
      <c r="D222" s="132"/>
      <c r="E222" s="132"/>
      <c r="G222" s="132"/>
      <c r="H222" s="132"/>
      <c r="I222" s="132"/>
      <c r="J222" s="132"/>
    </row>
    <row r="223" spans="3:10" ht="42" customHeight="1" x14ac:dyDescent="0.25">
      <c r="C223" s="132"/>
      <c r="D223" s="132"/>
      <c r="E223" s="132"/>
      <c r="G223" s="132"/>
      <c r="H223" s="132"/>
      <c r="I223" s="132"/>
      <c r="J223" s="132"/>
    </row>
    <row r="224" spans="3:10" ht="42" customHeight="1" x14ac:dyDescent="0.25">
      <c r="C224" s="132"/>
      <c r="D224" s="132"/>
      <c r="E224" s="132"/>
      <c r="G224" s="132"/>
      <c r="H224" s="132"/>
      <c r="I224" s="132"/>
      <c r="J224" s="132"/>
    </row>
    <row r="225" spans="3:10" ht="42" customHeight="1" x14ac:dyDescent="0.25">
      <c r="C225" s="132"/>
      <c r="D225" s="132"/>
      <c r="E225" s="132"/>
      <c r="G225" s="132"/>
      <c r="H225" s="132"/>
      <c r="I225" s="132"/>
      <c r="J225" s="132"/>
    </row>
    <row r="226" spans="3:10" ht="42" customHeight="1" x14ac:dyDescent="0.25">
      <c r="C226" s="132"/>
      <c r="D226" s="132"/>
      <c r="E226" s="132"/>
      <c r="G226" s="132"/>
      <c r="H226" s="132"/>
      <c r="I226" s="132"/>
      <c r="J226" s="132"/>
    </row>
    <row r="227" spans="3:10" ht="42" customHeight="1" x14ac:dyDescent="0.25">
      <c r="C227" s="132"/>
      <c r="D227" s="132"/>
      <c r="E227" s="132"/>
      <c r="G227" s="132"/>
      <c r="H227" s="132"/>
      <c r="I227" s="132"/>
      <c r="J227" s="132"/>
    </row>
    <row r="228" spans="3:10" ht="42" customHeight="1" x14ac:dyDescent="0.25">
      <c r="C228" s="132"/>
      <c r="D228" s="132"/>
      <c r="E228" s="132"/>
      <c r="G228" s="132"/>
      <c r="H228" s="132"/>
      <c r="I228" s="132"/>
      <c r="J228" s="132"/>
    </row>
    <row r="229" spans="3:10" ht="42" customHeight="1" x14ac:dyDescent="0.25">
      <c r="C229" s="132"/>
      <c r="D229" s="132"/>
      <c r="E229" s="132"/>
      <c r="G229" s="132"/>
      <c r="H229" s="132"/>
      <c r="I229" s="132"/>
      <c r="J229" s="132"/>
    </row>
    <row r="230" spans="3:10" ht="42" customHeight="1" x14ac:dyDescent="0.25">
      <c r="C230" s="132"/>
      <c r="D230" s="132"/>
      <c r="E230" s="132"/>
      <c r="G230" s="132"/>
      <c r="H230" s="132"/>
      <c r="I230" s="132"/>
      <c r="J230" s="132"/>
    </row>
    <row r="231" spans="3:10" ht="42" customHeight="1" x14ac:dyDescent="0.25">
      <c r="C231" s="132"/>
      <c r="D231" s="132"/>
      <c r="E231" s="132"/>
      <c r="G231" s="132"/>
      <c r="H231" s="132"/>
      <c r="I231" s="132"/>
      <c r="J231" s="132"/>
    </row>
    <row r="232" spans="3:10" ht="42" customHeight="1" x14ac:dyDescent="0.25">
      <c r="C232" s="132"/>
      <c r="D232" s="132"/>
      <c r="E232" s="132"/>
      <c r="G232" s="132"/>
      <c r="H232" s="132"/>
      <c r="I232" s="132"/>
      <c r="J232" s="132"/>
    </row>
    <row r="233" spans="3:10" ht="42" customHeight="1" x14ac:dyDescent="0.25">
      <c r="C233" s="132"/>
      <c r="D233" s="132"/>
      <c r="E233" s="132"/>
      <c r="G233" s="132"/>
      <c r="H233" s="132"/>
      <c r="I233" s="132"/>
      <c r="J233" s="132"/>
    </row>
    <row r="234" spans="3:10" ht="42" customHeight="1" x14ac:dyDescent="0.25">
      <c r="C234" s="132"/>
      <c r="D234" s="132"/>
      <c r="E234" s="132"/>
      <c r="G234" s="132"/>
      <c r="H234" s="132"/>
      <c r="I234" s="132"/>
      <c r="J234" s="132"/>
    </row>
    <row r="235" spans="3:10" ht="42" customHeight="1" x14ac:dyDescent="0.25">
      <c r="C235" s="132"/>
      <c r="D235" s="132"/>
      <c r="E235" s="132"/>
      <c r="G235" s="132"/>
      <c r="H235" s="132"/>
      <c r="I235" s="132"/>
      <c r="J235" s="132"/>
    </row>
    <row r="236" spans="3:10" ht="42" customHeight="1" x14ac:dyDescent="0.25">
      <c r="C236" s="132"/>
      <c r="D236" s="132"/>
      <c r="E236" s="132"/>
      <c r="G236" s="132"/>
      <c r="H236" s="132"/>
      <c r="I236" s="132"/>
      <c r="J236" s="132"/>
    </row>
    <row r="237" spans="3:10" ht="42" customHeight="1" x14ac:dyDescent="0.25">
      <c r="C237" s="132"/>
      <c r="D237" s="132"/>
      <c r="E237" s="132"/>
      <c r="G237" s="132"/>
      <c r="H237" s="132"/>
      <c r="I237" s="132"/>
      <c r="J237" s="132"/>
    </row>
    <row r="238" spans="3:10" ht="42" customHeight="1" x14ac:dyDescent="0.25">
      <c r="C238" s="132"/>
      <c r="D238" s="132"/>
      <c r="E238" s="132"/>
      <c r="G238" s="132"/>
      <c r="H238" s="132"/>
      <c r="I238" s="132"/>
      <c r="J238" s="132"/>
    </row>
    <row r="239" spans="3:10" ht="42" customHeight="1" x14ac:dyDescent="0.25">
      <c r="C239" s="132"/>
      <c r="D239" s="132"/>
      <c r="E239" s="132"/>
      <c r="G239" s="132"/>
      <c r="H239" s="132"/>
      <c r="I239" s="132"/>
      <c r="J239" s="132"/>
    </row>
    <row r="240" spans="3:10" ht="42" customHeight="1" x14ac:dyDescent="0.25">
      <c r="C240" s="132"/>
      <c r="D240" s="132"/>
      <c r="E240" s="132"/>
      <c r="G240" s="132"/>
      <c r="H240" s="132"/>
      <c r="I240" s="132"/>
      <c r="J240" s="132"/>
    </row>
    <row r="241" spans="3:10" ht="42" customHeight="1" x14ac:dyDescent="0.25">
      <c r="C241" s="132"/>
      <c r="D241" s="132"/>
      <c r="E241" s="132"/>
      <c r="G241" s="132"/>
      <c r="H241" s="132"/>
      <c r="I241" s="132"/>
      <c r="J241" s="132"/>
    </row>
    <row r="242" spans="3:10" ht="42" customHeight="1" x14ac:dyDescent="0.25">
      <c r="C242" s="132"/>
      <c r="D242" s="132"/>
      <c r="E242" s="132"/>
      <c r="G242" s="132"/>
      <c r="H242" s="132"/>
      <c r="I242" s="132"/>
      <c r="J242" s="132"/>
    </row>
    <row r="243" spans="3:10" ht="42" customHeight="1" x14ac:dyDescent="0.25">
      <c r="C243" s="132"/>
      <c r="D243" s="132"/>
      <c r="E243" s="132"/>
      <c r="G243" s="132"/>
      <c r="H243" s="132"/>
      <c r="I243" s="132"/>
      <c r="J243" s="132"/>
    </row>
    <row r="244" spans="3:10" ht="42" customHeight="1" x14ac:dyDescent="0.25">
      <c r="C244" s="132"/>
      <c r="D244" s="132"/>
      <c r="E244" s="132"/>
      <c r="G244" s="132"/>
      <c r="H244" s="132"/>
      <c r="I244" s="132"/>
      <c r="J244" s="132"/>
    </row>
    <row r="245" spans="3:10" ht="42" customHeight="1" x14ac:dyDescent="0.25">
      <c r="C245" s="132"/>
      <c r="D245" s="132"/>
      <c r="E245" s="132"/>
      <c r="G245" s="132"/>
      <c r="H245" s="132"/>
      <c r="I245" s="132"/>
      <c r="J245" s="132"/>
    </row>
    <row r="246" spans="3:10" ht="42" customHeight="1" x14ac:dyDescent="0.25">
      <c r="C246" s="132"/>
      <c r="D246" s="132"/>
      <c r="E246" s="132"/>
      <c r="G246" s="132"/>
      <c r="H246" s="132"/>
      <c r="I246" s="132"/>
      <c r="J246" s="132"/>
    </row>
    <row r="247" spans="3:10" ht="42" customHeight="1" x14ac:dyDescent="0.25">
      <c r="C247" s="132"/>
      <c r="D247" s="132"/>
      <c r="E247" s="132"/>
      <c r="G247" s="132"/>
      <c r="H247" s="132"/>
      <c r="I247" s="132"/>
      <c r="J247" s="132"/>
    </row>
    <row r="248" spans="3:10" ht="42" customHeight="1" x14ac:dyDescent="0.25">
      <c r="C248" s="132"/>
      <c r="D248" s="132"/>
      <c r="E248" s="132"/>
      <c r="G248" s="132"/>
      <c r="H248" s="132"/>
      <c r="I248" s="132"/>
      <c r="J248" s="132"/>
    </row>
    <row r="249" spans="3:10" ht="42" customHeight="1" x14ac:dyDescent="0.25">
      <c r="C249" s="132"/>
      <c r="D249" s="132"/>
      <c r="E249" s="132"/>
      <c r="G249" s="132"/>
      <c r="H249" s="132"/>
      <c r="I249" s="132"/>
      <c r="J249" s="132"/>
    </row>
    <row r="250" spans="3:10" ht="42" customHeight="1" x14ac:dyDescent="0.25">
      <c r="C250" s="132"/>
      <c r="D250" s="132"/>
      <c r="E250" s="132"/>
      <c r="G250" s="132"/>
      <c r="H250" s="132"/>
      <c r="I250" s="132"/>
      <c r="J250" s="132"/>
    </row>
    <row r="251" spans="3:10" ht="42" customHeight="1" x14ac:dyDescent="0.25">
      <c r="C251" s="132"/>
      <c r="D251" s="132"/>
      <c r="E251" s="132"/>
      <c r="G251" s="132"/>
      <c r="H251" s="132"/>
      <c r="I251" s="132"/>
      <c r="J251" s="132"/>
    </row>
    <row r="252" spans="3:10" ht="42" customHeight="1" x14ac:dyDescent="0.25">
      <c r="C252" s="132"/>
      <c r="D252" s="132"/>
      <c r="E252" s="132"/>
      <c r="G252" s="132"/>
      <c r="H252" s="132"/>
      <c r="I252" s="132"/>
      <c r="J252" s="132"/>
    </row>
    <row r="253" spans="3:10" ht="42" customHeight="1" x14ac:dyDescent="0.25">
      <c r="C253" s="132"/>
      <c r="D253" s="132"/>
      <c r="E253" s="132"/>
      <c r="G253" s="132"/>
      <c r="H253" s="132"/>
      <c r="I253" s="132"/>
      <c r="J253" s="132"/>
    </row>
    <row r="254" spans="3:10" ht="42" customHeight="1" x14ac:dyDescent="0.25">
      <c r="C254" s="132"/>
      <c r="D254" s="132"/>
      <c r="E254" s="132"/>
      <c r="G254" s="132"/>
      <c r="H254" s="132"/>
      <c r="I254" s="132"/>
      <c r="J254" s="132"/>
    </row>
    <row r="255" spans="3:10" ht="42" customHeight="1" x14ac:dyDescent="0.25">
      <c r="C255" s="132"/>
      <c r="D255" s="132"/>
      <c r="E255" s="132"/>
      <c r="G255" s="132"/>
      <c r="H255" s="132"/>
      <c r="I255" s="132"/>
      <c r="J255" s="132"/>
    </row>
    <row r="256" spans="3:10" ht="42" customHeight="1" x14ac:dyDescent="0.25">
      <c r="C256" s="132"/>
      <c r="D256" s="132"/>
      <c r="E256" s="132"/>
      <c r="G256" s="132"/>
      <c r="H256" s="132"/>
      <c r="I256" s="132"/>
      <c r="J256" s="132"/>
    </row>
    <row r="257" spans="3:10" ht="42" customHeight="1" x14ac:dyDescent="0.25">
      <c r="C257" s="132"/>
      <c r="D257" s="132"/>
      <c r="E257" s="132"/>
      <c r="G257" s="132"/>
      <c r="H257" s="132"/>
      <c r="I257" s="132"/>
      <c r="J257" s="132"/>
    </row>
    <row r="258" spans="3:10" ht="42" customHeight="1" x14ac:dyDescent="0.25">
      <c r="C258" s="132"/>
      <c r="D258" s="132"/>
      <c r="E258" s="132"/>
      <c r="G258" s="132"/>
      <c r="H258" s="132"/>
      <c r="I258" s="132"/>
      <c r="J258" s="132"/>
    </row>
    <row r="259" spans="3:10" ht="42" customHeight="1" x14ac:dyDescent="0.25">
      <c r="C259" s="132"/>
      <c r="D259" s="132"/>
      <c r="E259" s="132"/>
      <c r="G259" s="132"/>
      <c r="H259" s="132"/>
      <c r="I259" s="132"/>
      <c r="J259" s="132"/>
    </row>
    <row r="260" spans="3:10" ht="42" customHeight="1" x14ac:dyDescent="0.25">
      <c r="C260" s="132"/>
      <c r="D260" s="132"/>
      <c r="E260" s="132"/>
      <c r="G260" s="132"/>
      <c r="H260" s="132"/>
      <c r="I260" s="132"/>
      <c r="J260" s="132"/>
    </row>
    <row r="261" spans="3:10" ht="42" customHeight="1" x14ac:dyDescent="0.25">
      <c r="C261" s="132"/>
      <c r="D261" s="132"/>
      <c r="E261" s="132"/>
      <c r="G261" s="132"/>
      <c r="H261" s="132"/>
      <c r="I261" s="132"/>
      <c r="J261" s="132"/>
    </row>
    <row r="262" spans="3:10" ht="42" customHeight="1" x14ac:dyDescent="0.25">
      <c r="C262" s="132"/>
      <c r="D262" s="132"/>
      <c r="E262" s="132"/>
      <c r="G262" s="132"/>
      <c r="H262" s="132"/>
      <c r="I262" s="132"/>
      <c r="J262" s="132"/>
    </row>
    <row r="263" spans="3:10" ht="42" customHeight="1" x14ac:dyDescent="0.25">
      <c r="C263" s="132"/>
      <c r="D263" s="132"/>
      <c r="E263" s="132"/>
      <c r="G263" s="132"/>
      <c r="H263" s="132"/>
      <c r="I263" s="132"/>
      <c r="J263" s="132"/>
    </row>
    <row r="264" spans="3:10" ht="42" customHeight="1" x14ac:dyDescent="0.25">
      <c r="C264" s="132"/>
      <c r="D264" s="132"/>
      <c r="E264" s="132"/>
      <c r="G264" s="132"/>
      <c r="H264" s="132"/>
      <c r="I264" s="132"/>
      <c r="J264" s="132"/>
    </row>
    <row r="265" spans="3:10" ht="42" customHeight="1" x14ac:dyDescent="0.25">
      <c r="C265" s="132"/>
      <c r="D265" s="132"/>
      <c r="E265" s="132"/>
      <c r="G265" s="132"/>
      <c r="H265" s="132"/>
      <c r="I265" s="132"/>
      <c r="J265" s="132"/>
    </row>
    <row r="266" spans="3:10" ht="42" customHeight="1" x14ac:dyDescent="0.25">
      <c r="C266" s="132"/>
      <c r="D266" s="132"/>
      <c r="E266" s="132"/>
      <c r="G266" s="132"/>
      <c r="H266" s="132"/>
      <c r="I266" s="132"/>
      <c r="J266" s="132"/>
    </row>
    <row r="267" spans="3:10" ht="42" customHeight="1" x14ac:dyDescent="0.25">
      <c r="C267" s="132"/>
      <c r="D267" s="132"/>
      <c r="E267" s="132"/>
      <c r="G267" s="132"/>
      <c r="H267" s="132"/>
      <c r="I267" s="132"/>
      <c r="J267" s="132"/>
    </row>
    <row r="268" spans="3:10" ht="42" customHeight="1" x14ac:dyDescent="0.25">
      <c r="C268" s="132"/>
      <c r="D268" s="132"/>
      <c r="E268" s="132"/>
      <c r="G268" s="132"/>
      <c r="H268" s="132"/>
      <c r="I268" s="132"/>
      <c r="J268" s="132"/>
    </row>
    <row r="269" spans="3:10" ht="42" customHeight="1" x14ac:dyDescent="0.25">
      <c r="C269" s="132"/>
      <c r="D269" s="132"/>
      <c r="E269" s="132"/>
      <c r="G269" s="132"/>
      <c r="H269" s="132"/>
      <c r="I269" s="132"/>
      <c r="J269" s="132"/>
    </row>
  </sheetData>
  <mergeCells count="7">
    <mergeCell ref="A16:O16"/>
    <mergeCell ref="K3:M3"/>
    <mergeCell ref="K4:M4"/>
    <mergeCell ref="K10:M10"/>
    <mergeCell ref="A1:N1"/>
    <mergeCell ref="G6:O6"/>
    <mergeCell ref="G8:O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77"/>
  <sheetViews>
    <sheetView zoomScale="70" zoomScaleNormal="70" workbookViewId="0">
      <selection activeCell="M5" sqref="M5"/>
    </sheetView>
  </sheetViews>
  <sheetFormatPr defaultColWidth="13.42578125" defaultRowHeight="15" x14ac:dyDescent="0.25"/>
  <cols>
    <col min="1" max="1" width="4" style="156" bestFit="1" customWidth="1"/>
    <col min="2" max="2" width="20.5703125" style="156" bestFit="1" customWidth="1"/>
    <col min="3" max="3" width="21" style="179" customWidth="1"/>
    <col min="4" max="4" width="25.85546875" style="179" bestFit="1" customWidth="1"/>
    <col min="5" max="5" width="30.42578125" style="179" bestFit="1" customWidth="1"/>
    <col min="6" max="6" width="17.28515625" style="156" bestFit="1" customWidth="1"/>
    <col min="7" max="7" width="10.42578125" style="180" bestFit="1" customWidth="1"/>
    <col min="8" max="8" width="14.5703125" style="181" bestFit="1" customWidth="1"/>
    <col min="9" max="9" width="12.140625" style="181" bestFit="1" customWidth="1"/>
    <col min="10" max="10" width="12.28515625" style="181" bestFit="1" customWidth="1"/>
    <col min="11" max="11" width="16.7109375" style="182" customWidth="1"/>
    <col min="12" max="12" width="22.5703125" style="156" customWidth="1"/>
    <col min="13" max="13" width="22.5703125" style="179" customWidth="1"/>
    <col min="14" max="14" width="32.7109375" style="156" customWidth="1"/>
    <col min="15" max="15" width="13.140625" style="156" bestFit="1" customWidth="1"/>
    <col min="16" max="16384" width="13.42578125" style="156"/>
  </cols>
  <sheetData>
    <row r="1" spans="1:15" ht="15.75" x14ac:dyDescent="0.25">
      <c r="A1" s="334" t="s">
        <v>718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155">
        <v>43035</v>
      </c>
    </row>
    <row r="2" spans="1:15" ht="56.25" customHeight="1" x14ac:dyDescent="0.25">
      <c r="A2" s="157" t="s">
        <v>554</v>
      </c>
      <c r="B2" s="158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60" t="s">
        <v>719</v>
      </c>
      <c r="I2" s="161" t="s">
        <v>631</v>
      </c>
      <c r="J2" s="160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5" ht="60" x14ac:dyDescent="0.25">
      <c r="A3" s="163">
        <v>1</v>
      </c>
      <c r="B3" s="163" t="s">
        <v>560</v>
      </c>
      <c r="C3" s="164" t="s">
        <v>540</v>
      </c>
      <c r="D3" s="164" t="s">
        <v>561</v>
      </c>
      <c r="E3" s="164" t="s">
        <v>668</v>
      </c>
      <c r="F3" s="165" t="s">
        <v>542</v>
      </c>
      <c r="G3" s="166">
        <v>3500</v>
      </c>
      <c r="H3" s="167">
        <v>5455.44</v>
      </c>
      <c r="I3" s="167">
        <f>759.57+143.14</f>
        <v>902.71</v>
      </c>
      <c r="J3" s="167">
        <f>MIN(H3+I3,G3)</f>
        <v>3500</v>
      </c>
      <c r="K3" s="336" t="s">
        <v>562</v>
      </c>
      <c r="L3" s="337"/>
      <c r="M3" s="338"/>
      <c r="N3" s="164" t="s">
        <v>720</v>
      </c>
      <c r="O3" s="168" t="s">
        <v>721</v>
      </c>
    </row>
    <row r="4" spans="1:15" ht="60" customHeight="1" x14ac:dyDescent="0.25">
      <c r="A4" s="163">
        <v>2</v>
      </c>
      <c r="B4" s="163" t="s">
        <v>563</v>
      </c>
      <c r="C4" s="164" t="s">
        <v>540</v>
      </c>
      <c r="D4" s="164" t="s">
        <v>561</v>
      </c>
      <c r="E4" s="164" t="s">
        <v>670</v>
      </c>
      <c r="F4" s="165" t="s">
        <v>544</v>
      </c>
      <c r="G4" s="166">
        <v>18</v>
      </c>
      <c r="H4" s="167">
        <v>1561.46</v>
      </c>
      <c r="I4" s="167">
        <f>737.39+143.14</f>
        <v>880.53</v>
      </c>
      <c r="J4" s="167">
        <f t="shared" ref="J4:J10" si="0">MIN(H4+I4,G4)</f>
        <v>18</v>
      </c>
      <c r="K4" s="336" t="s">
        <v>562</v>
      </c>
      <c r="L4" s="337"/>
      <c r="M4" s="338"/>
      <c r="N4" s="164" t="s">
        <v>720</v>
      </c>
      <c r="O4" s="168" t="s">
        <v>721</v>
      </c>
    </row>
    <row r="5" spans="1:15" ht="60" customHeight="1" x14ac:dyDescent="0.25">
      <c r="A5" s="163">
        <v>3</v>
      </c>
      <c r="B5" s="163" t="s">
        <v>657</v>
      </c>
      <c r="C5" s="164" t="s">
        <v>681</v>
      </c>
      <c r="D5" s="169" t="s">
        <v>659</v>
      </c>
      <c r="E5" s="169" t="s">
        <v>722</v>
      </c>
      <c r="F5" s="166" t="s">
        <v>660</v>
      </c>
      <c r="G5" s="166">
        <v>4960</v>
      </c>
      <c r="H5" s="167">
        <v>750.74</v>
      </c>
      <c r="I5" s="167">
        <f>1152.35+61.32</f>
        <v>1213.6699999999998</v>
      </c>
      <c r="J5" s="167">
        <f t="shared" si="0"/>
        <v>1964.4099999999999</v>
      </c>
      <c r="K5" s="188">
        <v>1</v>
      </c>
      <c r="L5" s="170" t="s">
        <v>749</v>
      </c>
      <c r="M5" s="105" t="s">
        <v>120</v>
      </c>
      <c r="N5" s="164" t="s">
        <v>723</v>
      </c>
      <c r="O5" s="168" t="s">
        <v>721</v>
      </c>
    </row>
    <row r="6" spans="1:15" ht="60" customHeight="1" x14ac:dyDescent="0.25">
      <c r="A6" s="163">
        <v>4</v>
      </c>
      <c r="B6" s="163" t="s">
        <v>724</v>
      </c>
      <c r="C6" s="164" t="s">
        <v>725</v>
      </c>
      <c r="D6" s="169" t="s">
        <v>726</v>
      </c>
      <c r="E6" s="169" t="s">
        <v>727</v>
      </c>
      <c r="F6" s="166" t="s">
        <v>728</v>
      </c>
      <c r="G6" s="166">
        <v>3150</v>
      </c>
      <c r="H6" s="167">
        <v>1663.38</v>
      </c>
      <c r="I6" s="167">
        <f>1688.72+43.38</f>
        <v>1732.1000000000001</v>
      </c>
      <c r="J6" s="167">
        <f t="shared" si="0"/>
        <v>3150</v>
      </c>
      <c r="K6" s="188">
        <v>300</v>
      </c>
      <c r="L6" s="167" t="s">
        <v>749</v>
      </c>
      <c r="M6" s="167" t="s">
        <v>753</v>
      </c>
      <c r="N6" s="164" t="s">
        <v>289</v>
      </c>
      <c r="O6" s="168" t="s">
        <v>721</v>
      </c>
    </row>
    <row r="7" spans="1:15" ht="60" customHeight="1" x14ac:dyDescent="0.25">
      <c r="A7" s="163">
        <v>5</v>
      </c>
      <c r="B7" s="163" t="s">
        <v>729</v>
      </c>
      <c r="C7" s="164" t="s">
        <v>730</v>
      </c>
      <c r="D7" s="169" t="s">
        <v>731</v>
      </c>
      <c r="E7" s="169" t="s">
        <v>732</v>
      </c>
      <c r="F7" s="163" t="s">
        <v>733</v>
      </c>
      <c r="G7" s="166">
        <v>19730</v>
      </c>
      <c r="H7" s="167">
        <v>3685.55</v>
      </c>
      <c r="I7" s="167">
        <f>1750.88+43.37</f>
        <v>1794.25</v>
      </c>
      <c r="J7" s="167">
        <f t="shared" si="0"/>
        <v>5479.8</v>
      </c>
      <c r="K7" s="336" t="s">
        <v>590</v>
      </c>
      <c r="L7" s="337"/>
      <c r="M7" s="338"/>
      <c r="N7" s="164" t="s">
        <v>289</v>
      </c>
      <c r="O7" s="168" t="s">
        <v>721</v>
      </c>
    </row>
    <row r="8" spans="1:15" ht="60" customHeight="1" x14ac:dyDescent="0.25">
      <c r="A8" s="163">
        <v>6</v>
      </c>
      <c r="B8" s="163" t="s">
        <v>734</v>
      </c>
      <c r="C8" s="164" t="s">
        <v>735</v>
      </c>
      <c r="D8" s="164" t="s">
        <v>736</v>
      </c>
      <c r="E8" s="164" t="s">
        <v>737</v>
      </c>
      <c r="F8" s="163" t="s">
        <v>738</v>
      </c>
      <c r="G8" s="166">
        <v>35020</v>
      </c>
      <c r="H8" s="167">
        <v>1370.5</v>
      </c>
      <c r="I8" s="167">
        <f>2043.87+43.37</f>
        <v>2087.2399999999998</v>
      </c>
      <c r="J8" s="167">
        <f t="shared" si="0"/>
        <v>3457.74</v>
      </c>
      <c r="K8" s="188">
        <v>4400</v>
      </c>
      <c r="L8" s="169" t="s">
        <v>752</v>
      </c>
      <c r="M8" s="169" t="s">
        <v>709</v>
      </c>
      <c r="N8" s="164" t="s">
        <v>289</v>
      </c>
      <c r="O8" s="168" t="s">
        <v>721</v>
      </c>
    </row>
    <row r="9" spans="1:15" ht="60" customHeight="1" x14ac:dyDescent="0.25">
      <c r="A9" s="163">
        <v>7</v>
      </c>
      <c r="B9" s="163" t="s">
        <v>739</v>
      </c>
      <c r="C9" s="164" t="s">
        <v>740</v>
      </c>
      <c r="D9" s="164" t="s">
        <v>741</v>
      </c>
      <c r="E9" s="164" t="s">
        <v>742</v>
      </c>
      <c r="F9" s="163" t="s">
        <v>743</v>
      </c>
      <c r="G9" s="166">
        <v>23780</v>
      </c>
      <c r="H9" s="167">
        <v>1724.41</v>
      </c>
      <c r="I9" s="167">
        <f>1990.88+43.37</f>
        <v>2034.25</v>
      </c>
      <c r="J9" s="167">
        <f t="shared" si="0"/>
        <v>3758.66</v>
      </c>
      <c r="K9" s="188">
        <v>3000</v>
      </c>
      <c r="L9" s="169" t="s">
        <v>750</v>
      </c>
      <c r="M9" s="169" t="s">
        <v>709</v>
      </c>
      <c r="N9" s="164" t="s">
        <v>289</v>
      </c>
      <c r="O9" s="168" t="s">
        <v>721</v>
      </c>
    </row>
    <row r="10" spans="1:15" ht="60" customHeight="1" x14ac:dyDescent="0.25">
      <c r="A10" s="163">
        <v>8</v>
      </c>
      <c r="B10" s="163" t="s">
        <v>744</v>
      </c>
      <c r="C10" s="164" t="s">
        <v>745</v>
      </c>
      <c r="D10" s="164" t="s">
        <v>746</v>
      </c>
      <c r="E10" s="164" t="s">
        <v>747</v>
      </c>
      <c r="F10" s="163" t="s">
        <v>748</v>
      </c>
      <c r="G10" s="166">
        <v>8090</v>
      </c>
      <c r="H10" s="167">
        <v>2157.79</v>
      </c>
      <c r="I10" s="167">
        <f>1133.01+43.37</f>
        <v>1176.3799999999999</v>
      </c>
      <c r="J10" s="167">
        <f t="shared" si="0"/>
        <v>3334.17</v>
      </c>
      <c r="K10" s="188">
        <v>4100</v>
      </c>
      <c r="L10" s="167" t="s">
        <v>749</v>
      </c>
      <c r="M10" s="167" t="s">
        <v>751</v>
      </c>
      <c r="N10" s="164" t="s">
        <v>289</v>
      </c>
      <c r="O10" s="168" t="s">
        <v>721</v>
      </c>
    </row>
    <row r="11" spans="1:15" s="171" customFormat="1" ht="15.75" x14ac:dyDescent="0.25">
      <c r="A11" s="335" t="s">
        <v>645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</row>
    <row r="12" spans="1:15" x14ac:dyDescent="0.25">
      <c r="A12" s="172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3"/>
    </row>
    <row r="13" spans="1:15" x14ac:dyDescent="0.25">
      <c r="A13" s="174"/>
      <c r="B13" s="171"/>
      <c r="C13" s="174"/>
      <c r="D13" s="174"/>
      <c r="E13" s="174"/>
      <c r="F13" s="174"/>
      <c r="G13" s="175"/>
      <c r="H13" s="176"/>
      <c r="I13" s="177"/>
      <c r="J13" s="176"/>
      <c r="K13" s="178"/>
      <c r="L13" s="174"/>
      <c r="M13" s="174"/>
      <c r="N13" s="174"/>
      <c r="O13" s="174"/>
    </row>
    <row r="14" spans="1:15" ht="56.25" customHeight="1" x14ac:dyDescent="0.25">
      <c r="A14" s="171"/>
    </row>
    <row r="15" spans="1:15" ht="56.25" customHeight="1" x14ac:dyDescent="0.25">
      <c r="A15" s="171"/>
    </row>
    <row r="16" spans="1:15" ht="56.25" customHeight="1" x14ac:dyDescent="0.25">
      <c r="A16" s="171"/>
      <c r="B16" s="171"/>
      <c r="C16" s="174"/>
      <c r="D16" s="176"/>
      <c r="E16" s="176"/>
      <c r="F16" s="177"/>
      <c r="G16" s="183"/>
      <c r="H16" s="177"/>
      <c r="I16" s="177"/>
      <c r="J16" s="177"/>
      <c r="K16" s="178"/>
      <c r="L16" s="176"/>
      <c r="M16" s="145"/>
      <c r="N16" s="174"/>
      <c r="O16" s="184"/>
    </row>
    <row r="17" spans="1:15" ht="56.25" customHeight="1" x14ac:dyDescent="0.25">
      <c r="A17" s="171"/>
      <c r="B17" s="171"/>
      <c r="C17" s="174"/>
      <c r="D17" s="176"/>
      <c r="E17" s="176"/>
      <c r="F17" s="177"/>
      <c r="G17" s="183"/>
      <c r="H17" s="177"/>
      <c r="I17" s="177"/>
      <c r="J17" s="177"/>
      <c r="K17" s="185"/>
      <c r="L17" s="176"/>
      <c r="M17" s="176"/>
      <c r="N17" s="186"/>
      <c r="O17" s="186"/>
    </row>
    <row r="18" spans="1:15" ht="56.25" customHeight="1" x14ac:dyDescent="0.25">
      <c r="A18" s="171"/>
      <c r="B18" s="171"/>
      <c r="C18" s="174"/>
      <c r="D18" s="174"/>
      <c r="E18" s="174"/>
      <c r="F18" s="171"/>
      <c r="G18" s="183"/>
      <c r="H18" s="177"/>
      <c r="I18" s="177"/>
      <c r="J18" s="177"/>
      <c r="K18" s="185"/>
      <c r="L18" s="176"/>
      <c r="M18" s="174"/>
      <c r="N18" s="171"/>
      <c r="O18" s="171"/>
    </row>
    <row r="19" spans="1:15" ht="56.25" customHeight="1" x14ac:dyDescent="0.25">
      <c r="A19" s="171"/>
      <c r="B19" s="171"/>
      <c r="C19" s="174"/>
      <c r="D19" s="176"/>
      <c r="E19" s="176"/>
      <c r="F19" s="183"/>
      <c r="G19" s="183"/>
      <c r="H19" s="177"/>
      <c r="I19" s="186"/>
      <c r="J19" s="177"/>
      <c r="K19" s="185"/>
      <c r="L19" s="176"/>
      <c r="M19" s="176"/>
      <c r="N19" s="186"/>
      <c r="O19" s="186"/>
    </row>
    <row r="20" spans="1:15" ht="56.25" customHeight="1" x14ac:dyDescent="0.25">
      <c r="A20" s="171"/>
      <c r="B20" s="171"/>
      <c r="C20" s="174"/>
      <c r="D20" s="176"/>
      <c r="E20" s="176"/>
      <c r="F20" s="183"/>
      <c r="G20" s="183"/>
      <c r="H20" s="177"/>
      <c r="I20" s="177"/>
      <c r="J20" s="177"/>
      <c r="K20" s="185"/>
      <c r="L20" s="177"/>
      <c r="M20" s="176"/>
      <c r="N20" s="174"/>
      <c r="O20" s="184"/>
    </row>
    <row r="21" spans="1:15" ht="56.25" customHeight="1" x14ac:dyDescent="0.25">
      <c r="A21" s="171"/>
      <c r="B21" s="171"/>
      <c r="C21" s="174"/>
      <c r="D21" s="176"/>
      <c r="E21" s="176"/>
      <c r="F21" s="183"/>
      <c r="G21" s="183"/>
      <c r="H21" s="177"/>
      <c r="I21" s="177"/>
      <c r="J21" s="177"/>
      <c r="K21" s="185"/>
      <c r="L21" s="177"/>
      <c r="M21" s="176"/>
      <c r="N21" s="174"/>
      <c r="O21" s="184"/>
    </row>
    <row r="22" spans="1:15" ht="56.25" customHeight="1" x14ac:dyDescent="0.25">
      <c r="A22" s="171"/>
      <c r="B22" s="171"/>
      <c r="C22" s="174"/>
      <c r="D22" s="176"/>
      <c r="E22" s="176"/>
      <c r="F22" s="183"/>
      <c r="G22" s="183"/>
      <c r="H22" s="177"/>
      <c r="I22" s="177"/>
      <c r="J22" s="177"/>
      <c r="K22" s="185"/>
      <c r="L22" s="177"/>
      <c r="M22" s="176"/>
      <c r="N22" s="174"/>
      <c r="O22" s="184"/>
    </row>
    <row r="23" spans="1:15" ht="56.25" customHeight="1" x14ac:dyDescent="0.25">
      <c r="A23" s="171"/>
      <c r="B23" s="171"/>
      <c r="C23" s="171"/>
      <c r="D23" s="171"/>
      <c r="E23" s="171"/>
      <c r="F23" s="171"/>
      <c r="G23" s="171"/>
      <c r="H23" s="171"/>
      <c r="I23" s="171"/>
      <c r="J23" s="177"/>
      <c r="K23" s="185"/>
      <c r="L23" s="171"/>
      <c r="M23" s="174"/>
      <c r="N23" s="171"/>
      <c r="O23" s="171"/>
    </row>
    <row r="24" spans="1:15" ht="56.25" customHeight="1" x14ac:dyDescent="0.25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</row>
    <row r="25" spans="1:15" ht="56.25" customHeight="1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85"/>
      <c r="L25" s="171"/>
      <c r="M25" s="174"/>
      <c r="N25" s="171"/>
      <c r="O25" s="171"/>
    </row>
    <row r="26" spans="1:15" ht="56.25" customHeight="1" x14ac:dyDescent="0.25">
      <c r="A26" s="171"/>
      <c r="B26" s="171"/>
      <c r="C26" s="171"/>
      <c r="D26" s="171"/>
      <c r="E26" s="171"/>
      <c r="F26" s="171"/>
      <c r="G26" s="171"/>
      <c r="H26" s="171"/>
      <c r="I26" s="171"/>
      <c r="J26" s="171"/>
      <c r="K26" s="185"/>
      <c r="L26" s="171"/>
      <c r="M26" s="174"/>
      <c r="N26" s="171"/>
      <c r="O26" s="171"/>
    </row>
    <row r="27" spans="1:15" ht="56.25" customHeight="1" x14ac:dyDescent="0.25">
      <c r="C27" s="156"/>
      <c r="D27" s="156"/>
      <c r="E27" s="156"/>
      <c r="G27" s="156"/>
      <c r="H27" s="156"/>
      <c r="I27" s="156"/>
      <c r="J27" s="156"/>
    </row>
    <row r="28" spans="1:15" ht="56.25" customHeight="1" x14ac:dyDescent="0.25">
      <c r="C28" s="156"/>
      <c r="D28" s="156"/>
      <c r="E28" s="156"/>
      <c r="G28" s="156"/>
      <c r="H28" s="156"/>
      <c r="I28" s="156"/>
      <c r="J28" s="156"/>
    </row>
    <row r="29" spans="1:15" ht="56.25" customHeight="1" x14ac:dyDescent="0.25">
      <c r="C29" s="156"/>
      <c r="D29" s="156"/>
      <c r="E29" s="156"/>
      <c r="G29" s="156"/>
      <c r="H29" s="156"/>
      <c r="I29" s="156"/>
      <c r="J29" s="156"/>
    </row>
    <row r="30" spans="1:15" ht="56.25" customHeight="1" x14ac:dyDescent="0.25">
      <c r="C30" s="156"/>
      <c r="D30" s="156"/>
      <c r="E30" s="156"/>
      <c r="G30" s="156"/>
      <c r="H30" s="156"/>
      <c r="I30" s="156"/>
      <c r="J30" s="156"/>
    </row>
    <row r="31" spans="1:15" ht="56.25" customHeight="1" x14ac:dyDescent="0.25">
      <c r="C31" s="156"/>
      <c r="D31" s="156"/>
      <c r="E31" s="156"/>
      <c r="G31" s="156"/>
      <c r="H31" s="156"/>
      <c r="I31" s="156"/>
      <c r="J31" s="156"/>
    </row>
    <row r="32" spans="1:15" ht="56.25" customHeight="1" x14ac:dyDescent="0.25">
      <c r="C32" s="156"/>
      <c r="D32" s="156"/>
      <c r="E32" s="156"/>
      <c r="G32" s="156"/>
      <c r="H32" s="156"/>
      <c r="I32" s="156"/>
      <c r="J32" s="156"/>
    </row>
    <row r="33" spans="3:10" ht="56.25" customHeight="1" x14ac:dyDescent="0.25">
      <c r="C33" s="156"/>
      <c r="D33" s="156"/>
      <c r="E33" s="156"/>
      <c r="G33" s="156"/>
      <c r="H33" s="156"/>
      <c r="I33" s="156"/>
      <c r="J33" s="156"/>
    </row>
    <row r="34" spans="3:10" ht="56.25" customHeight="1" x14ac:dyDescent="0.25">
      <c r="C34" s="156"/>
      <c r="D34" s="156"/>
      <c r="E34" s="156"/>
      <c r="G34" s="156"/>
      <c r="H34" s="156"/>
      <c r="I34" s="156"/>
      <c r="J34" s="156"/>
    </row>
    <row r="35" spans="3:10" ht="56.25" customHeight="1" x14ac:dyDescent="0.25">
      <c r="C35" s="156"/>
      <c r="D35" s="156"/>
      <c r="E35" s="156"/>
      <c r="G35" s="156"/>
      <c r="H35" s="156"/>
      <c r="I35" s="156"/>
      <c r="J35" s="156"/>
    </row>
    <row r="36" spans="3:10" ht="56.25" customHeight="1" x14ac:dyDescent="0.25">
      <c r="C36" s="156"/>
      <c r="D36" s="156"/>
      <c r="E36" s="156"/>
      <c r="G36" s="156"/>
      <c r="H36" s="156"/>
      <c r="I36" s="156"/>
      <c r="J36" s="156"/>
    </row>
    <row r="37" spans="3:10" ht="56.25" customHeight="1" x14ac:dyDescent="0.25">
      <c r="C37" s="156"/>
      <c r="D37" s="156"/>
      <c r="E37" s="156"/>
      <c r="G37" s="156"/>
      <c r="H37" s="156"/>
      <c r="I37" s="156"/>
      <c r="J37" s="156"/>
    </row>
    <row r="38" spans="3:10" ht="56.25" customHeight="1" x14ac:dyDescent="0.25">
      <c r="C38" s="156"/>
      <c r="D38" s="156"/>
      <c r="E38" s="156"/>
      <c r="G38" s="156"/>
      <c r="H38" s="156"/>
      <c r="I38" s="156"/>
      <c r="J38" s="156"/>
    </row>
    <row r="39" spans="3:10" ht="56.25" customHeight="1" x14ac:dyDescent="0.25">
      <c r="C39" s="156"/>
      <c r="D39" s="156"/>
      <c r="E39" s="156"/>
      <c r="G39" s="156"/>
      <c r="H39" s="156"/>
      <c r="I39" s="156"/>
      <c r="J39" s="156"/>
    </row>
    <row r="40" spans="3:10" ht="56.25" customHeight="1" x14ac:dyDescent="0.25">
      <c r="C40" s="156"/>
      <c r="D40" s="156"/>
      <c r="E40" s="156"/>
      <c r="G40" s="156"/>
      <c r="H40" s="156"/>
      <c r="I40" s="156"/>
      <c r="J40" s="156"/>
    </row>
    <row r="41" spans="3:10" ht="56.25" customHeight="1" x14ac:dyDescent="0.25">
      <c r="C41" s="156"/>
      <c r="D41" s="156"/>
      <c r="E41" s="156"/>
      <c r="G41" s="156"/>
      <c r="H41" s="156"/>
      <c r="I41" s="156"/>
      <c r="J41" s="156"/>
    </row>
    <row r="42" spans="3:10" ht="56.25" customHeight="1" x14ac:dyDescent="0.25">
      <c r="C42" s="156"/>
      <c r="D42" s="156"/>
      <c r="E42" s="156"/>
      <c r="G42" s="156"/>
      <c r="H42" s="156"/>
      <c r="I42" s="156"/>
      <c r="J42" s="156"/>
    </row>
    <row r="43" spans="3:10" ht="56.25" customHeight="1" x14ac:dyDescent="0.25">
      <c r="C43" s="156"/>
      <c r="D43" s="156"/>
      <c r="E43" s="156"/>
      <c r="G43" s="156"/>
      <c r="H43" s="156"/>
      <c r="I43" s="156"/>
      <c r="J43" s="156"/>
    </row>
    <row r="44" spans="3:10" ht="56.25" customHeight="1" x14ac:dyDescent="0.25">
      <c r="C44" s="156"/>
      <c r="D44" s="156"/>
      <c r="E44" s="156"/>
      <c r="G44" s="156"/>
      <c r="H44" s="156"/>
      <c r="I44" s="156"/>
      <c r="J44" s="156"/>
    </row>
    <row r="45" spans="3:10" ht="56.25" customHeight="1" x14ac:dyDescent="0.25">
      <c r="C45" s="156"/>
      <c r="D45" s="156"/>
      <c r="E45" s="156"/>
      <c r="G45" s="156"/>
      <c r="H45" s="156"/>
      <c r="I45" s="156"/>
      <c r="J45" s="156"/>
    </row>
    <row r="46" spans="3:10" ht="56.25" customHeight="1" x14ac:dyDescent="0.25">
      <c r="C46" s="156"/>
      <c r="D46" s="156"/>
      <c r="E46" s="156"/>
      <c r="G46" s="156"/>
      <c r="H46" s="156"/>
      <c r="I46" s="156"/>
      <c r="J46" s="156"/>
    </row>
    <row r="47" spans="3:10" ht="56.25" customHeight="1" x14ac:dyDescent="0.25">
      <c r="C47" s="156"/>
      <c r="D47" s="156"/>
      <c r="E47" s="156"/>
      <c r="G47" s="156"/>
      <c r="H47" s="156"/>
      <c r="I47" s="156"/>
      <c r="J47" s="156"/>
    </row>
    <row r="48" spans="3:10" ht="56.25" customHeight="1" x14ac:dyDescent="0.25">
      <c r="C48" s="156"/>
      <c r="D48" s="156"/>
      <c r="E48" s="156"/>
      <c r="G48" s="156"/>
      <c r="H48" s="156"/>
      <c r="I48" s="156"/>
      <c r="J48" s="156"/>
    </row>
    <row r="49" spans="3:10" ht="56.25" customHeight="1" x14ac:dyDescent="0.25">
      <c r="C49" s="156"/>
      <c r="D49" s="156"/>
      <c r="E49" s="156"/>
      <c r="G49" s="156"/>
      <c r="H49" s="156"/>
      <c r="I49" s="156"/>
      <c r="J49" s="156"/>
    </row>
    <row r="50" spans="3:10" ht="56.25" customHeight="1" x14ac:dyDescent="0.25">
      <c r="C50" s="156"/>
      <c r="D50" s="156"/>
      <c r="E50" s="156"/>
      <c r="G50" s="156"/>
      <c r="H50" s="156"/>
      <c r="I50" s="156"/>
      <c r="J50" s="156"/>
    </row>
    <row r="51" spans="3:10" ht="56.25" customHeight="1" x14ac:dyDescent="0.25">
      <c r="C51" s="156"/>
      <c r="D51" s="156"/>
      <c r="E51" s="156"/>
      <c r="G51" s="156"/>
      <c r="H51" s="156"/>
      <c r="I51" s="156"/>
      <c r="J51" s="156"/>
    </row>
    <row r="52" spans="3:10" ht="56.25" customHeight="1" x14ac:dyDescent="0.25">
      <c r="C52" s="156"/>
      <c r="D52" s="156"/>
      <c r="E52" s="156"/>
      <c r="G52" s="156"/>
      <c r="H52" s="156"/>
      <c r="I52" s="156"/>
      <c r="J52" s="156"/>
    </row>
    <row r="53" spans="3:10" ht="56.25" customHeight="1" x14ac:dyDescent="0.25">
      <c r="C53" s="156"/>
      <c r="D53" s="156"/>
      <c r="E53" s="156"/>
      <c r="G53" s="156"/>
      <c r="H53" s="156"/>
      <c r="I53" s="156"/>
      <c r="J53" s="156"/>
    </row>
    <row r="54" spans="3:10" ht="56.25" customHeight="1" x14ac:dyDescent="0.25">
      <c r="C54" s="156"/>
      <c r="D54" s="156"/>
      <c r="E54" s="156"/>
      <c r="G54" s="156"/>
      <c r="H54" s="156"/>
      <c r="I54" s="156"/>
      <c r="J54" s="156"/>
    </row>
    <row r="55" spans="3:10" ht="56.25" customHeight="1" x14ac:dyDescent="0.25">
      <c r="C55" s="156"/>
      <c r="D55" s="156"/>
      <c r="E55" s="156"/>
      <c r="G55" s="156"/>
      <c r="H55" s="156"/>
      <c r="I55" s="156"/>
      <c r="J55" s="156"/>
    </row>
    <row r="56" spans="3:10" ht="56.25" customHeight="1" x14ac:dyDescent="0.25">
      <c r="C56" s="156"/>
      <c r="D56" s="156"/>
      <c r="E56" s="156"/>
      <c r="G56" s="156"/>
      <c r="H56" s="156"/>
      <c r="I56" s="156"/>
      <c r="J56" s="156"/>
    </row>
    <row r="57" spans="3:10" ht="56.25" customHeight="1" x14ac:dyDescent="0.25">
      <c r="C57" s="156"/>
      <c r="D57" s="156"/>
      <c r="E57" s="156"/>
      <c r="G57" s="156"/>
      <c r="H57" s="156"/>
      <c r="I57" s="156"/>
      <c r="J57" s="156"/>
    </row>
    <row r="58" spans="3:10" ht="56.25" customHeight="1" x14ac:dyDescent="0.25">
      <c r="C58" s="156"/>
      <c r="D58" s="156"/>
      <c r="E58" s="156"/>
      <c r="G58" s="156"/>
      <c r="H58" s="156"/>
      <c r="I58" s="156"/>
      <c r="J58" s="156"/>
    </row>
    <row r="59" spans="3:10" ht="56.25" customHeight="1" x14ac:dyDescent="0.25">
      <c r="C59" s="156"/>
      <c r="D59" s="156"/>
      <c r="E59" s="156"/>
      <c r="G59" s="156"/>
      <c r="H59" s="156"/>
      <c r="I59" s="156"/>
      <c r="J59" s="156"/>
    </row>
    <row r="60" spans="3:10" ht="56.25" customHeight="1" x14ac:dyDescent="0.25">
      <c r="C60" s="156"/>
      <c r="D60" s="156"/>
      <c r="E60" s="156"/>
      <c r="G60" s="156"/>
      <c r="H60" s="156"/>
      <c r="I60" s="156"/>
      <c r="J60" s="156"/>
    </row>
    <row r="61" spans="3:10" ht="56.25" customHeight="1" x14ac:dyDescent="0.25">
      <c r="C61" s="156"/>
      <c r="D61" s="156"/>
      <c r="E61" s="156"/>
      <c r="G61" s="156"/>
      <c r="H61" s="156"/>
      <c r="I61" s="156"/>
      <c r="J61" s="156"/>
    </row>
    <row r="62" spans="3:10" ht="56.25" customHeight="1" x14ac:dyDescent="0.25">
      <c r="C62" s="156"/>
      <c r="D62" s="156"/>
      <c r="E62" s="156"/>
      <c r="G62" s="156"/>
      <c r="H62" s="156"/>
      <c r="I62" s="156"/>
      <c r="J62" s="156"/>
    </row>
    <row r="63" spans="3:10" ht="56.25" customHeight="1" x14ac:dyDescent="0.25">
      <c r="C63" s="156"/>
      <c r="D63" s="156"/>
      <c r="E63" s="156"/>
      <c r="G63" s="156"/>
      <c r="H63" s="156"/>
      <c r="I63" s="156"/>
      <c r="J63" s="156"/>
    </row>
    <row r="64" spans="3:10" ht="56.25" customHeight="1" x14ac:dyDescent="0.25">
      <c r="C64" s="156"/>
      <c r="D64" s="156"/>
      <c r="E64" s="156"/>
      <c r="G64" s="156"/>
      <c r="H64" s="156"/>
      <c r="I64" s="156"/>
      <c r="J64" s="156"/>
    </row>
    <row r="65" spans="3:10" ht="56.25" customHeight="1" x14ac:dyDescent="0.25">
      <c r="C65" s="156"/>
      <c r="D65" s="156"/>
      <c r="E65" s="156"/>
      <c r="G65" s="156"/>
      <c r="H65" s="156"/>
      <c r="I65" s="156"/>
      <c r="J65" s="156"/>
    </row>
    <row r="66" spans="3:10" ht="56.25" customHeight="1" x14ac:dyDescent="0.25">
      <c r="C66" s="156"/>
      <c r="D66" s="156"/>
      <c r="E66" s="156"/>
      <c r="G66" s="156"/>
      <c r="H66" s="156"/>
      <c r="I66" s="156"/>
      <c r="J66" s="156"/>
    </row>
    <row r="67" spans="3:10" ht="56.25" customHeight="1" x14ac:dyDescent="0.25">
      <c r="C67" s="156"/>
      <c r="D67" s="156"/>
      <c r="E67" s="156"/>
      <c r="G67" s="156"/>
      <c r="H67" s="156"/>
      <c r="I67" s="156"/>
      <c r="J67" s="156"/>
    </row>
    <row r="68" spans="3:10" ht="56.25" customHeight="1" x14ac:dyDescent="0.25">
      <c r="C68" s="156"/>
      <c r="D68" s="156"/>
      <c r="E68" s="156"/>
      <c r="G68" s="156"/>
      <c r="H68" s="156"/>
      <c r="I68" s="156"/>
      <c r="J68" s="156"/>
    </row>
    <row r="69" spans="3:10" ht="56.25" customHeight="1" x14ac:dyDescent="0.25">
      <c r="C69" s="156"/>
      <c r="D69" s="156"/>
      <c r="E69" s="156"/>
      <c r="G69" s="156"/>
      <c r="H69" s="156"/>
      <c r="I69" s="156"/>
      <c r="J69" s="156"/>
    </row>
    <row r="70" spans="3:10" ht="56.25" customHeight="1" x14ac:dyDescent="0.25">
      <c r="C70" s="156"/>
      <c r="D70" s="156"/>
      <c r="E70" s="156"/>
      <c r="G70" s="156"/>
      <c r="H70" s="156"/>
      <c r="I70" s="156"/>
      <c r="J70" s="156"/>
    </row>
    <row r="71" spans="3:10" ht="56.25" customHeight="1" x14ac:dyDescent="0.25">
      <c r="C71" s="156"/>
      <c r="D71" s="156"/>
      <c r="E71" s="156"/>
      <c r="G71" s="156"/>
      <c r="H71" s="156"/>
      <c r="I71" s="156"/>
      <c r="J71" s="156"/>
    </row>
    <row r="72" spans="3:10" ht="56.25" customHeight="1" x14ac:dyDescent="0.25">
      <c r="C72" s="156"/>
      <c r="D72" s="156"/>
      <c r="E72" s="156"/>
      <c r="G72" s="156"/>
      <c r="H72" s="156"/>
      <c r="I72" s="156"/>
      <c r="J72" s="156"/>
    </row>
    <row r="73" spans="3:10" ht="56.25" customHeight="1" x14ac:dyDescent="0.25">
      <c r="C73" s="156"/>
      <c r="D73" s="156"/>
      <c r="E73" s="156"/>
      <c r="G73" s="156"/>
      <c r="H73" s="156"/>
      <c r="I73" s="156"/>
      <c r="J73" s="156"/>
    </row>
    <row r="74" spans="3:10" ht="56.25" customHeight="1" x14ac:dyDescent="0.25">
      <c r="C74" s="156"/>
      <c r="D74" s="156"/>
      <c r="E74" s="156"/>
      <c r="G74" s="156"/>
      <c r="H74" s="156"/>
      <c r="I74" s="156"/>
      <c r="J74" s="156"/>
    </row>
    <row r="75" spans="3:10" ht="56.25" customHeight="1" x14ac:dyDescent="0.25">
      <c r="C75" s="156"/>
      <c r="D75" s="156"/>
      <c r="E75" s="156"/>
      <c r="G75" s="156"/>
      <c r="H75" s="156"/>
      <c r="I75" s="156"/>
      <c r="J75" s="156"/>
    </row>
    <row r="76" spans="3:10" ht="56.25" customHeight="1" x14ac:dyDescent="0.25">
      <c r="C76" s="156"/>
      <c r="D76" s="156"/>
      <c r="E76" s="156"/>
      <c r="G76" s="156"/>
      <c r="H76" s="156"/>
      <c r="I76" s="156"/>
      <c r="J76" s="156"/>
    </row>
    <row r="77" spans="3:10" ht="56.25" customHeight="1" x14ac:dyDescent="0.25">
      <c r="C77" s="156"/>
      <c r="D77" s="156"/>
      <c r="E77" s="156"/>
      <c r="G77" s="156"/>
      <c r="H77" s="156"/>
      <c r="I77" s="156"/>
      <c r="J77" s="156"/>
    </row>
    <row r="78" spans="3:10" ht="56.25" customHeight="1" x14ac:dyDescent="0.25">
      <c r="C78" s="156"/>
      <c r="D78" s="156"/>
      <c r="E78" s="156"/>
      <c r="G78" s="156"/>
      <c r="H78" s="156"/>
      <c r="I78" s="156"/>
      <c r="J78" s="156"/>
    </row>
    <row r="79" spans="3:10" ht="56.25" customHeight="1" x14ac:dyDescent="0.25">
      <c r="C79" s="156"/>
      <c r="D79" s="156"/>
      <c r="E79" s="156"/>
      <c r="G79" s="156"/>
      <c r="H79" s="156"/>
      <c r="I79" s="156"/>
      <c r="J79" s="156"/>
    </row>
    <row r="80" spans="3:10" ht="56.25" customHeight="1" x14ac:dyDescent="0.25">
      <c r="C80" s="156"/>
      <c r="D80" s="156"/>
      <c r="E80" s="156"/>
      <c r="G80" s="156"/>
      <c r="H80" s="156"/>
      <c r="I80" s="156"/>
      <c r="J80" s="156"/>
    </row>
    <row r="81" spans="3:10" ht="56.25" customHeight="1" x14ac:dyDescent="0.25">
      <c r="C81" s="156"/>
      <c r="D81" s="156"/>
      <c r="E81" s="156"/>
      <c r="G81" s="156"/>
      <c r="H81" s="156"/>
      <c r="I81" s="156"/>
      <c r="J81" s="156"/>
    </row>
    <row r="82" spans="3:10" ht="56.25" customHeight="1" x14ac:dyDescent="0.25">
      <c r="C82" s="156"/>
      <c r="D82" s="156"/>
      <c r="E82" s="156"/>
      <c r="G82" s="156"/>
      <c r="H82" s="156"/>
      <c r="I82" s="156"/>
      <c r="J82" s="156"/>
    </row>
    <row r="83" spans="3:10" ht="56.25" customHeight="1" x14ac:dyDescent="0.25">
      <c r="C83" s="156"/>
      <c r="D83" s="156"/>
      <c r="E83" s="156"/>
      <c r="G83" s="156"/>
      <c r="H83" s="156"/>
      <c r="I83" s="156"/>
      <c r="J83" s="156"/>
    </row>
    <row r="84" spans="3:10" ht="56.25" customHeight="1" x14ac:dyDescent="0.25">
      <c r="C84" s="156"/>
      <c r="D84" s="156"/>
      <c r="E84" s="156"/>
      <c r="G84" s="156"/>
      <c r="H84" s="156"/>
      <c r="I84" s="156"/>
      <c r="J84" s="156"/>
    </row>
    <row r="85" spans="3:10" ht="56.25" customHeight="1" x14ac:dyDescent="0.25">
      <c r="C85" s="156"/>
      <c r="D85" s="156"/>
      <c r="E85" s="156"/>
      <c r="G85" s="156"/>
      <c r="H85" s="156"/>
      <c r="I85" s="156"/>
      <c r="J85" s="156"/>
    </row>
    <row r="86" spans="3:10" ht="56.25" customHeight="1" x14ac:dyDescent="0.25">
      <c r="C86" s="156"/>
      <c r="D86" s="156"/>
      <c r="E86" s="156"/>
      <c r="G86" s="156"/>
      <c r="H86" s="156"/>
      <c r="I86" s="156"/>
      <c r="J86" s="156"/>
    </row>
    <row r="87" spans="3:10" ht="56.25" customHeight="1" x14ac:dyDescent="0.25">
      <c r="C87" s="156"/>
      <c r="D87" s="156"/>
      <c r="E87" s="156"/>
      <c r="G87" s="156"/>
      <c r="H87" s="156"/>
      <c r="I87" s="156"/>
      <c r="J87" s="156"/>
    </row>
    <row r="88" spans="3:10" ht="56.25" customHeight="1" x14ac:dyDescent="0.25">
      <c r="C88" s="156"/>
      <c r="D88" s="156"/>
      <c r="E88" s="156"/>
      <c r="G88" s="156"/>
      <c r="H88" s="156"/>
      <c r="I88" s="156"/>
      <c r="J88" s="156"/>
    </row>
    <row r="89" spans="3:10" ht="56.25" customHeight="1" x14ac:dyDescent="0.25">
      <c r="C89" s="156"/>
      <c r="D89" s="156"/>
      <c r="E89" s="156"/>
      <c r="G89" s="156"/>
      <c r="H89" s="156"/>
      <c r="I89" s="156"/>
      <c r="J89" s="156"/>
    </row>
    <row r="90" spans="3:10" ht="56.25" customHeight="1" x14ac:dyDescent="0.25">
      <c r="C90" s="156"/>
      <c r="D90" s="156"/>
      <c r="E90" s="156"/>
      <c r="G90" s="156"/>
      <c r="H90" s="156"/>
      <c r="I90" s="156"/>
      <c r="J90" s="156"/>
    </row>
    <row r="91" spans="3:10" ht="56.25" customHeight="1" x14ac:dyDescent="0.25">
      <c r="C91" s="156"/>
      <c r="D91" s="156"/>
      <c r="E91" s="156"/>
      <c r="G91" s="156"/>
      <c r="H91" s="156"/>
      <c r="I91" s="156"/>
      <c r="J91" s="156"/>
    </row>
    <row r="92" spans="3:10" ht="56.25" customHeight="1" x14ac:dyDescent="0.25">
      <c r="C92" s="156"/>
      <c r="D92" s="156"/>
      <c r="E92" s="156"/>
      <c r="G92" s="156"/>
      <c r="H92" s="156"/>
      <c r="I92" s="156"/>
      <c r="J92" s="156"/>
    </row>
    <row r="93" spans="3:10" ht="56.25" customHeight="1" x14ac:dyDescent="0.25">
      <c r="C93" s="156"/>
      <c r="D93" s="156"/>
      <c r="E93" s="156"/>
      <c r="G93" s="156"/>
      <c r="H93" s="156"/>
      <c r="I93" s="156"/>
      <c r="J93" s="156"/>
    </row>
    <row r="94" spans="3:10" ht="56.25" customHeight="1" x14ac:dyDescent="0.25">
      <c r="C94" s="156"/>
      <c r="D94" s="156"/>
      <c r="E94" s="156"/>
      <c r="G94" s="156"/>
      <c r="H94" s="156"/>
      <c r="I94" s="156"/>
      <c r="J94" s="156"/>
    </row>
    <row r="95" spans="3:10" ht="56.25" customHeight="1" x14ac:dyDescent="0.25">
      <c r="C95" s="156"/>
      <c r="D95" s="156"/>
      <c r="E95" s="156"/>
      <c r="G95" s="156"/>
      <c r="H95" s="156"/>
      <c r="I95" s="156"/>
      <c r="J95" s="156"/>
    </row>
    <row r="96" spans="3:10" ht="56.25" customHeight="1" x14ac:dyDescent="0.25">
      <c r="C96" s="156"/>
      <c r="D96" s="156"/>
      <c r="E96" s="156"/>
      <c r="G96" s="156"/>
      <c r="H96" s="156"/>
      <c r="I96" s="156"/>
      <c r="J96" s="156"/>
    </row>
    <row r="97" spans="3:10" ht="56.25" customHeight="1" x14ac:dyDescent="0.25">
      <c r="C97" s="156"/>
      <c r="D97" s="156"/>
      <c r="E97" s="156"/>
      <c r="G97" s="156"/>
      <c r="H97" s="156"/>
      <c r="I97" s="156"/>
      <c r="J97" s="156"/>
    </row>
    <row r="98" spans="3:10" ht="56.25" customHeight="1" x14ac:dyDescent="0.25">
      <c r="C98" s="156"/>
      <c r="D98" s="156"/>
      <c r="E98" s="156"/>
      <c r="G98" s="156"/>
      <c r="H98" s="156"/>
      <c r="I98" s="156"/>
      <c r="J98" s="156"/>
    </row>
    <row r="99" spans="3:10" ht="56.25" customHeight="1" x14ac:dyDescent="0.25">
      <c r="C99" s="156"/>
      <c r="D99" s="156"/>
      <c r="E99" s="156"/>
      <c r="G99" s="156"/>
      <c r="H99" s="156"/>
      <c r="I99" s="156"/>
      <c r="J99" s="156"/>
    </row>
    <row r="100" spans="3:10" ht="56.25" customHeight="1" x14ac:dyDescent="0.25">
      <c r="C100" s="156"/>
      <c r="D100" s="156"/>
      <c r="E100" s="156"/>
      <c r="G100" s="156"/>
      <c r="H100" s="156"/>
      <c r="I100" s="156"/>
      <c r="J100" s="156"/>
    </row>
    <row r="101" spans="3:10" ht="56.25" customHeight="1" x14ac:dyDescent="0.25">
      <c r="C101" s="156"/>
      <c r="D101" s="156"/>
      <c r="E101" s="156"/>
      <c r="G101" s="156"/>
      <c r="H101" s="156"/>
      <c r="I101" s="156"/>
      <c r="J101" s="156"/>
    </row>
    <row r="102" spans="3:10" ht="56.25" customHeight="1" x14ac:dyDescent="0.25">
      <c r="C102" s="156"/>
      <c r="D102" s="156"/>
      <c r="E102" s="156"/>
      <c r="G102" s="156"/>
      <c r="H102" s="156"/>
      <c r="I102" s="156"/>
      <c r="J102" s="156"/>
    </row>
    <row r="103" spans="3:10" ht="56.25" customHeight="1" x14ac:dyDescent="0.25">
      <c r="C103" s="156"/>
      <c r="D103" s="156"/>
      <c r="E103" s="156"/>
      <c r="G103" s="156"/>
      <c r="H103" s="156"/>
      <c r="I103" s="156"/>
      <c r="J103" s="156"/>
    </row>
    <row r="104" spans="3:10" ht="56.25" customHeight="1" x14ac:dyDescent="0.25">
      <c r="C104" s="156"/>
      <c r="D104" s="156"/>
      <c r="E104" s="156"/>
      <c r="G104" s="156"/>
      <c r="H104" s="156"/>
      <c r="I104" s="156"/>
      <c r="J104" s="156"/>
    </row>
    <row r="105" spans="3:10" ht="56.25" customHeight="1" x14ac:dyDescent="0.25">
      <c r="C105" s="156"/>
      <c r="D105" s="156"/>
      <c r="E105" s="156"/>
      <c r="G105" s="156"/>
      <c r="H105" s="156"/>
      <c r="I105" s="156"/>
      <c r="J105" s="156"/>
    </row>
    <row r="106" spans="3:10" ht="56.25" customHeight="1" x14ac:dyDescent="0.25">
      <c r="C106" s="156"/>
      <c r="D106" s="156"/>
      <c r="E106" s="156"/>
      <c r="G106" s="156"/>
      <c r="H106" s="156"/>
      <c r="I106" s="156"/>
      <c r="J106" s="156"/>
    </row>
    <row r="107" spans="3:10" ht="56.25" customHeight="1" x14ac:dyDescent="0.25">
      <c r="C107" s="156"/>
      <c r="D107" s="156"/>
      <c r="E107" s="156"/>
      <c r="G107" s="156"/>
      <c r="H107" s="156"/>
      <c r="I107" s="156"/>
      <c r="J107" s="156"/>
    </row>
    <row r="108" spans="3:10" ht="56.25" customHeight="1" x14ac:dyDescent="0.25">
      <c r="C108" s="156"/>
      <c r="D108" s="156"/>
      <c r="E108" s="156"/>
      <c r="G108" s="156"/>
      <c r="H108" s="156"/>
      <c r="I108" s="156"/>
      <c r="J108" s="156"/>
    </row>
    <row r="109" spans="3:10" ht="56.25" customHeight="1" x14ac:dyDescent="0.25">
      <c r="C109" s="156"/>
      <c r="D109" s="156"/>
      <c r="E109" s="156"/>
      <c r="G109" s="156"/>
      <c r="H109" s="156"/>
      <c r="I109" s="156"/>
      <c r="J109" s="156"/>
    </row>
    <row r="110" spans="3:10" ht="56.25" customHeight="1" x14ac:dyDescent="0.25">
      <c r="C110" s="156"/>
      <c r="D110" s="156"/>
      <c r="E110" s="156"/>
      <c r="G110" s="156"/>
      <c r="H110" s="156"/>
      <c r="I110" s="156"/>
      <c r="J110" s="156"/>
    </row>
    <row r="111" spans="3:10" ht="56.25" customHeight="1" x14ac:dyDescent="0.25">
      <c r="C111" s="156"/>
      <c r="D111" s="156"/>
      <c r="E111" s="156"/>
      <c r="G111" s="156"/>
      <c r="H111" s="156"/>
      <c r="I111" s="156"/>
      <c r="J111" s="156"/>
    </row>
    <row r="112" spans="3:10" ht="56.25" customHeight="1" x14ac:dyDescent="0.25">
      <c r="C112" s="156"/>
      <c r="D112" s="156"/>
      <c r="E112" s="156"/>
      <c r="G112" s="156"/>
      <c r="H112" s="156"/>
      <c r="I112" s="156"/>
      <c r="J112" s="156"/>
    </row>
    <row r="113" spans="3:10" ht="56.25" customHeight="1" x14ac:dyDescent="0.25">
      <c r="C113" s="156"/>
      <c r="D113" s="156"/>
      <c r="E113" s="156"/>
      <c r="G113" s="156"/>
      <c r="H113" s="156"/>
      <c r="I113" s="156"/>
      <c r="J113" s="156"/>
    </row>
    <row r="114" spans="3:10" ht="56.25" customHeight="1" x14ac:dyDescent="0.25">
      <c r="C114" s="156"/>
      <c r="D114" s="156"/>
      <c r="E114" s="156"/>
      <c r="G114" s="156"/>
      <c r="H114" s="156"/>
      <c r="I114" s="156"/>
      <c r="J114" s="156"/>
    </row>
    <row r="115" spans="3:10" ht="56.25" customHeight="1" x14ac:dyDescent="0.25">
      <c r="C115" s="156"/>
      <c r="D115" s="156"/>
      <c r="E115" s="156"/>
      <c r="G115" s="156"/>
      <c r="H115" s="156"/>
      <c r="I115" s="156"/>
      <c r="J115" s="156"/>
    </row>
    <row r="116" spans="3:10" ht="56.25" customHeight="1" x14ac:dyDescent="0.25">
      <c r="C116" s="156"/>
      <c r="D116" s="156"/>
      <c r="E116" s="156"/>
      <c r="G116" s="156"/>
      <c r="H116" s="156"/>
      <c r="I116" s="156"/>
      <c r="J116" s="156"/>
    </row>
    <row r="117" spans="3:10" ht="56.25" customHeight="1" x14ac:dyDescent="0.25">
      <c r="C117" s="156"/>
      <c r="D117" s="156"/>
      <c r="E117" s="156"/>
      <c r="G117" s="156"/>
      <c r="H117" s="156"/>
      <c r="I117" s="156"/>
      <c r="J117" s="156"/>
    </row>
    <row r="118" spans="3:10" ht="56.25" customHeight="1" x14ac:dyDescent="0.25">
      <c r="C118" s="156"/>
      <c r="D118" s="156"/>
      <c r="E118" s="156"/>
      <c r="G118" s="156"/>
      <c r="H118" s="156"/>
      <c r="I118" s="156"/>
      <c r="J118" s="156"/>
    </row>
    <row r="119" spans="3:10" ht="56.25" customHeight="1" x14ac:dyDescent="0.25">
      <c r="C119" s="156"/>
      <c r="D119" s="156"/>
      <c r="E119" s="156"/>
      <c r="G119" s="156"/>
      <c r="H119" s="156"/>
      <c r="I119" s="156"/>
      <c r="J119" s="156"/>
    </row>
    <row r="120" spans="3:10" ht="56.25" customHeight="1" x14ac:dyDescent="0.25">
      <c r="C120" s="156"/>
      <c r="D120" s="156"/>
      <c r="E120" s="156"/>
      <c r="G120" s="156"/>
      <c r="H120" s="156"/>
      <c r="I120" s="156"/>
      <c r="J120" s="156"/>
    </row>
    <row r="121" spans="3:10" ht="56.25" customHeight="1" x14ac:dyDescent="0.25">
      <c r="C121" s="156"/>
      <c r="D121" s="156"/>
      <c r="E121" s="156"/>
      <c r="G121" s="156"/>
      <c r="H121" s="156"/>
      <c r="I121" s="156"/>
      <c r="J121" s="156"/>
    </row>
    <row r="122" spans="3:10" ht="56.25" customHeight="1" x14ac:dyDescent="0.25">
      <c r="C122" s="156"/>
      <c r="D122" s="156"/>
      <c r="E122" s="156"/>
      <c r="G122" s="156"/>
      <c r="H122" s="156"/>
      <c r="I122" s="156"/>
      <c r="J122" s="156"/>
    </row>
    <row r="123" spans="3:10" ht="56.25" customHeight="1" x14ac:dyDescent="0.25">
      <c r="C123" s="156"/>
      <c r="D123" s="156"/>
      <c r="E123" s="156"/>
      <c r="G123" s="156"/>
      <c r="H123" s="156"/>
      <c r="I123" s="156"/>
      <c r="J123" s="156"/>
    </row>
    <row r="124" spans="3:10" ht="56.25" customHeight="1" x14ac:dyDescent="0.25">
      <c r="C124" s="156"/>
      <c r="D124" s="156"/>
      <c r="E124" s="156"/>
      <c r="G124" s="156"/>
      <c r="H124" s="156"/>
      <c r="I124" s="156"/>
      <c r="J124" s="156"/>
    </row>
    <row r="125" spans="3:10" ht="56.25" customHeight="1" x14ac:dyDescent="0.25">
      <c r="C125" s="156"/>
      <c r="D125" s="156"/>
      <c r="E125" s="156"/>
      <c r="G125" s="156"/>
      <c r="H125" s="156"/>
      <c r="I125" s="156"/>
      <c r="J125" s="156"/>
    </row>
    <row r="126" spans="3:10" ht="56.25" customHeight="1" x14ac:dyDescent="0.25">
      <c r="C126" s="156"/>
      <c r="D126" s="156"/>
      <c r="E126" s="156"/>
      <c r="G126" s="156"/>
      <c r="H126" s="156"/>
      <c r="I126" s="156"/>
      <c r="J126" s="156"/>
    </row>
    <row r="127" spans="3:10" ht="56.25" customHeight="1" x14ac:dyDescent="0.25">
      <c r="C127" s="156"/>
      <c r="D127" s="156"/>
      <c r="E127" s="156"/>
      <c r="G127" s="156"/>
      <c r="H127" s="156"/>
      <c r="I127" s="156"/>
      <c r="J127" s="156"/>
    </row>
    <row r="128" spans="3:10" ht="56.25" customHeight="1" x14ac:dyDescent="0.25">
      <c r="C128" s="156"/>
      <c r="D128" s="156"/>
      <c r="E128" s="156"/>
      <c r="G128" s="156"/>
      <c r="H128" s="156"/>
      <c r="I128" s="156"/>
      <c r="J128" s="156"/>
    </row>
    <row r="129" spans="3:10" ht="56.25" customHeight="1" x14ac:dyDescent="0.25">
      <c r="C129" s="156"/>
      <c r="D129" s="156"/>
      <c r="E129" s="156"/>
      <c r="G129" s="156"/>
      <c r="H129" s="156"/>
      <c r="I129" s="156"/>
      <c r="J129" s="156"/>
    </row>
    <row r="130" spans="3:10" ht="56.25" customHeight="1" x14ac:dyDescent="0.25">
      <c r="C130" s="156"/>
      <c r="D130" s="156"/>
      <c r="E130" s="156"/>
      <c r="G130" s="156"/>
      <c r="H130" s="156"/>
      <c r="I130" s="156"/>
      <c r="J130" s="156"/>
    </row>
    <row r="131" spans="3:10" ht="56.25" customHeight="1" x14ac:dyDescent="0.25">
      <c r="C131" s="156"/>
      <c r="D131" s="156"/>
      <c r="E131" s="156"/>
      <c r="G131" s="156"/>
      <c r="H131" s="156"/>
      <c r="I131" s="156"/>
      <c r="J131" s="156"/>
    </row>
    <row r="132" spans="3:10" ht="56.25" customHeight="1" x14ac:dyDescent="0.25">
      <c r="C132" s="156"/>
      <c r="D132" s="156"/>
      <c r="E132" s="156"/>
      <c r="G132" s="156"/>
      <c r="H132" s="156"/>
      <c r="I132" s="156"/>
      <c r="J132" s="156"/>
    </row>
    <row r="133" spans="3:10" ht="56.25" customHeight="1" x14ac:dyDescent="0.25">
      <c r="C133" s="156"/>
      <c r="D133" s="156"/>
      <c r="E133" s="156"/>
      <c r="G133" s="156"/>
      <c r="H133" s="156"/>
      <c r="I133" s="156"/>
      <c r="J133" s="156"/>
    </row>
    <row r="134" spans="3:10" ht="56.25" customHeight="1" x14ac:dyDescent="0.25">
      <c r="C134" s="156"/>
      <c r="D134" s="156"/>
      <c r="E134" s="156"/>
      <c r="G134" s="156"/>
      <c r="H134" s="156"/>
      <c r="I134" s="156"/>
      <c r="J134" s="156"/>
    </row>
    <row r="135" spans="3:10" ht="56.25" customHeight="1" x14ac:dyDescent="0.25">
      <c r="C135" s="156"/>
      <c r="D135" s="156"/>
      <c r="E135" s="156"/>
      <c r="G135" s="156"/>
      <c r="H135" s="156"/>
      <c r="I135" s="156"/>
      <c r="J135" s="156"/>
    </row>
    <row r="136" spans="3:10" ht="56.25" customHeight="1" x14ac:dyDescent="0.25">
      <c r="C136" s="156"/>
      <c r="D136" s="156"/>
      <c r="E136" s="156"/>
      <c r="G136" s="156"/>
      <c r="H136" s="156"/>
      <c r="I136" s="156"/>
      <c r="J136" s="156"/>
    </row>
    <row r="137" spans="3:10" ht="56.25" customHeight="1" x14ac:dyDescent="0.25">
      <c r="C137" s="156"/>
      <c r="D137" s="156"/>
      <c r="E137" s="156"/>
      <c r="G137" s="156"/>
      <c r="H137" s="156"/>
      <c r="I137" s="156"/>
      <c r="J137" s="156"/>
    </row>
    <row r="138" spans="3:10" ht="56.25" customHeight="1" x14ac:dyDescent="0.25">
      <c r="C138" s="156"/>
      <c r="D138" s="156"/>
      <c r="E138" s="156"/>
      <c r="G138" s="156"/>
      <c r="H138" s="156"/>
      <c r="I138" s="156"/>
      <c r="J138" s="156"/>
    </row>
    <row r="139" spans="3:10" ht="56.25" customHeight="1" x14ac:dyDescent="0.25">
      <c r="C139" s="156"/>
      <c r="D139" s="156"/>
      <c r="E139" s="156"/>
      <c r="G139" s="156"/>
      <c r="H139" s="156"/>
      <c r="I139" s="156"/>
      <c r="J139" s="156"/>
    </row>
    <row r="140" spans="3:10" ht="56.25" customHeight="1" x14ac:dyDescent="0.25">
      <c r="C140" s="156"/>
      <c r="D140" s="156"/>
      <c r="E140" s="156"/>
      <c r="G140" s="156"/>
      <c r="H140" s="156"/>
      <c r="I140" s="156"/>
      <c r="J140" s="156"/>
    </row>
    <row r="141" spans="3:10" ht="56.25" customHeight="1" x14ac:dyDescent="0.25">
      <c r="C141" s="156"/>
      <c r="D141" s="156"/>
      <c r="E141" s="156"/>
      <c r="G141" s="156"/>
      <c r="H141" s="156"/>
      <c r="I141" s="156"/>
      <c r="J141" s="156"/>
    </row>
    <row r="142" spans="3:10" ht="56.25" customHeight="1" x14ac:dyDescent="0.25">
      <c r="C142" s="156"/>
      <c r="D142" s="156"/>
      <c r="E142" s="156"/>
      <c r="G142" s="156"/>
      <c r="H142" s="156"/>
      <c r="I142" s="156"/>
      <c r="J142" s="156"/>
    </row>
    <row r="143" spans="3:10" ht="56.25" customHeight="1" x14ac:dyDescent="0.25">
      <c r="C143" s="156"/>
      <c r="D143" s="156"/>
      <c r="E143" s="156"/>
      <c r="G143" s="156"/>
      <c r="H143" s="156"/>
      <c r="I143" s="156"/>
      <c r="J143" s="156"/>
    </row>
    <row r="144" spans="3:10" ht="56.25" customHeight="1" x14ac:dyDescent="0.25">
      <c r="C144" s="156"/>
      <c r="D144" s="156"/>
      <c r="E144" s="156"/>
      <c r="G144" s="156"/>
      <c r="H144" s="156"/>
      <c r="I144" s="156"/>
      <c r="J144" s="156"/>
    </row>
    <row r="145" spans="3:10" ht="56.25" customHeight="1" x14ac:dyDescent="0.25">
      <c r="C145" s="156"/>
      <c r="D145" s="156"/>
      <c r="E145" s="156"/>
      <c r="G145" s="156"/>
      <c r="H145" s="156"/>
      <c r="I145" s="156"/>
      <c r="J145" s="156"/>
    </row>
    <row r="146" spans="3:10" ht="56.25" customHeight="1" x14ac:dyDescent="0.25">
      <c r="C146" s="156"/>
      <c r="D146" s="156"/>
      <c r="E146" s="156"/>
      <c r="G146" s="156"/>
      <c r="H146" s="156"/>
      <c r="I146" s="156"/>
      <c r="J146" s="156"/>
    </row>
    <row r="147" spans="3:10" ht="56.25" customHeight="1" x14ac:dyDescent="0.25">
      <c r="C147" s="156"/>
      <c r="D147" s="156"/>
      <c r="E147" s="156"/>
      <c r="G147" s="156"/>
      <c r="H147" s="156"/>
      <c r="I147" s="156"/>
      <c r="J147" s="156"/>
    </row>
    <row r="148" spans="3:10" ht="56.25" customHeight="1" x14ac:dyDescent="0.25">
      <c r="C148" s="156"/>
      <c r="D148" s="156"/>
      <c r="E148" s="156"/>
      <c r="G148" s="156"/>
      <c r="H148" s="156"/>
      <c r="I148" s="156"/>
      <c r="J148" s="156"/>
    </row>
    <row r="149" spans="3:10" ht="56.25" customHeight="1" x14ac:dyDescent="0.25">
      <c r="C149" s="156"/>
      <c r="D149" s="156"/>
      <c r="E149" s="156"/>
      <c r="G149" s="156"/>
      <c r="H149" s="156"/>
      <c r="I149" s="156"/>
      <c r="J149" s="156"/>
    </row>
    <row r="150" spans="3:10" ht="56.25" customHeight="1" x14ac:dyDescent="0.25">
      <c r="C150" s="156"/>
      <c r="D150" s="156"/>
      <c r="E150" s="156"/>
      <c r="G150" s="156"/>
      <c r="H150" s="156"/>
      <c r="I150" s="156"/>
      <c r="J150" s="156"/>
    </row>
    <row r="151" spans="3:10" ht="56.25" customHeight="1" x14ac:dyDescent="0.25">
      <c r="C151" s="156"/>
      <c r="D151" s="156"/>
      <c r="E151" s="156"/>
      <c r="G151" s="156"/>
      <c r="H151" s="156"/>
      <c r="I151" s="156"/>
      <c r="J151" s="156"/>
    </row>
    <row r="152" spans="3:10" ht="56.25" customHeight="1" x14ac:dyDescent="0.25">
      <c r="C152" s="156"/>
      <c r="D152" s="156"/>
      <c r="E152" s="156"/>
      <c r="G152" s="156"/>
      <c r="H152" s="156"/>
      <c r="I152" s="156"/>
      <c r="J152" s="156"/>
    </row>
    <row r="153" spans="3:10" ht="56.25" customHeight="1" x14ac:dyDescent="0.25">
      <c r="C153" s="156"/>
      <c r="D153" s="156"/>
      <c r="E153" s="156"/>
      <c r="G153" s="156"/>
      <c r="H153" s="156"/>
      <c r="I153" s="156"/>
      <c r="J153" s="156"/>
    </row>
    <row r="154" spans="3:10" ht="56.25" customHeight="1" x14ac:dyDescent="0.25">
      <c r="C154" s="156"/>
      <c r="D154" s="156"/>
      <c r="E154" s="156"/>
      <c r="G154" s="156"/>
      <c r="H154" s="156"/>
      <c r="I154" s="156"/>
      <c r="J154" s="156"/>
    </row>
    <row r="155" spans="3:10" ht="56.25" customHeight="1" x14ac:dyDescent="0.25">
      <c r="C155" s="156"/>
      <c r="D155" s="156"/>
      <c r="E155" s="156"/>
      <c r="G155" s="156"/>
      <c r="H155" s="156"/>
      <c r="I155" s="156"/>
      <c r="J155" s="156"/>
    </row>
    <row r="156" spans="3:10" ht="56.25" customHeight="1" x14ac:dyDescent="0.25">
      <c r="C156" s="156"/>
      <c r="D156" s="156"/>
      <c r="E156" s="156"/>
      <c r="G156" s="156"/>
      <c r="H156" s="156"/>
      <c r="I156" s="156"/>
      <c r="J156" s="156"/>
    </row>
    <row r="157" spans="3:10" ht="56.25" customHeight="1" x14ac:dyDescent="0.25">
      <c r="C157" s="156"/>
      <c r="D157" s="156"/>
      <c r="E157" s="156"/>
      <c r="G157" s="156"/>
      <c r="H157" s="156"/>
      <c r="I157" s="156"/>
      <c r="J157" s="156"/>
    </row>
    <row r="158" spans="3:10" ht="56.25" customHeight="1" x14ac:dyDescent="0.25">
      <c r="C158" s="156"/>
      <c r="D158" s="156"/>
      <c r="E158" s="156"/>
      <c r="G158" s="156"/>
      <c r="H158" s="156"/>
      <c r="I158" s="156"/>
      <c r="J158" s="156"/>
    </row>
    <row r="159" spans="3:10" ht="56.25" customHeight="1" x14ac:dyDescent="0.25">
      <c r="C159" s="156"/>
      <c r="D159" s="156"/>
      <c r="E159" s="156"/>
      <c r="G159" s="156"/>
      <c r="H159" s="156"/>
      <c r="I159" s="156"/>
      <c r="J159" s="156"/>
    </row>
    <row r="160" spans="3:10" ht="56.25" customHeight="1" x14ac:dyDescent="0.25">
      <c r="C160" s="156"/>
      <c r="D160" s="156"/>
      <c r="E160" s="156"/>
      <c r="G160" s="156"/>
      <c r="H160" s="156"/>
      <c r="I160" s="156"/>
      <c r="J160" s="156"/>
    </row>
    <row r="161" spans="3:10" ht="56.25" customHeight="1" x14ac:dyDescent="0.25">
      <c r="C161" s="156"/>
      <c r="D161" s="156"/>
      <c r="E161" s="156"/>
      <c r="G161" s="156"/>
      <c r="H161" s="156"/>
      <c r="I161" s="156"/>
      <c r="J161" s="156"/>
    </row>
    <row r="162" spans="3:10" ht="56.25" customHeight="1" x14ac:dyDescent="0.25">
      <c r="C162" s="156"/>
      <c r="D162" s="156"/>
      <c r="E162" s="156"/>
      <c r="G162" s="156"/>
      <c r="H162" s="156"/>
      <c r="I162" s="156"/>
      <c r="J162" s="156"/>
    </row>
    <row r="163" spans="3:10" ht="56.25" customHeight="1" x14ac:dyDescent="0.25">
      <c r="C163" s="156"/>
      <c r="D163" s="156"/>
      <c r="E163" s="156"/>
      <c r="G163" s="156"/>
      <c r="H163" s="156"/>
      <c r="I163" s="156"/>
      <c r="J163" s="156"/>
    </row>
    <row r="164" spans="3:10" ht="56.25" customHeight="1" x14ac:dyDescent="0.25">
      <c r="C164" s="156"/>
      <c r="D164" s="156"/>
      <c r="E164" s="156"/>
      <c r="G164" s="156"/>
      <c r="H164" s="156"/>
      <c r="I164" s="156"/>
      <c r="J164" s="156"/>
    </row>
    <row r="165" spans="3:10" ht="56.25" customHeight="1" x14ac:dyDescent="0.25">
      <c r="C165" s="156"/>
      <c r="D165" s="156"/>
      <c r="E165" s="156"/>
      <c r="G165" s="156"/>
      <c r="H165" s="156"/>
      <c r="I165" s="156"/>
      <c r="J165" s="156"/>
    </row>
    <row r="166" spans="3:10" ht="56.25" customHeight="1" x14ac:dyDescent="0.25">
      <c r="C166" s="156"/>
      <c r="D166" s="156"/>
      <c r="E166" s="156"/>
      <c r="G166" s="156"/>
      <c r="H166" s="156"/>
      <c r="I166" s="156"/>
      <c r="J166" s="156"/>
    </row>
    <row r="167" spans="3:10" ht="56.25" customHeight="1" x14ac:dyDescent="0.25">
      <c r="C167" s="156"/>
      <c r="D167" s="156"/>
      <c r="E167" s="156"/>
      <c r="G167" s="156"/>
      <c r="H167" s="156"/>
      <c r="I167" s="156"/>
      <c r="J167" s="156"/>
    </row>
    <row r="168" spans="3:10" ht="56.25" customHeight="1" x14ac:dyDescent="0.25">
      <c r="C168" s="156"/>
      <c r="D168" s="156"/>
      <c r="E168" s="156"/>
      <c r="G168" s="156"/>
      <c r="H168" s="156"/>
      <c r="I168" s="156"/>
      <c r="J168" s="156"/>
    </row>
    <row r="169" spans="3:10" ht="56.25" customHeight="1" x14ac:dyDescent="0.25">
      <c r="C169" s="156"/>
      <c r="D169" s="156"/>
      <c r="E169" s="156"/>
      <c r="G169" s="156"/>
      <c r="H169" s="156"/>
      <c r="I169" s="156"/>
      <c r="J169" s="156"/>
    </row>
    <row r="170" spans="3:10" ht="56.25" customHeight="1" x14ac:dyDescent="0.25">
      <c r="C170" s="156"/>
      <c r="D170" s="156"/>
      <c r="E170" s="156"/>
      <c r="G170" s="156"/>
      <c r="H170" s="156"/>
      <c r="I170" s="156"/>
      <c r="J170" s="156"/>
    </row>
    <row r="171" spans="3:10" ht="56.25" customHeight="1" x14ac:dyDescent="0.25">
      <c r="C171" s="156"/>
      <c r="D171" s="156"/>
      <c r="E171" s="156"/>
      <c r="G171" s="156"/>
      <c r="H171" s="156"/>
      <c r="I171" s="156"/>
      <c r="J171" s="156"/>
    </row>
    <row r="172" spans="3:10" ht="56.25" customHeight="1" x14ac:dyDescent="0.25">
      <c r="C172" s="156"/>
      <c r="D172" s="156"/>
      <c r="E172" s="156"/>
      <c r="G172" s="156"/>
      <c r="H172" s="156"/>
      <c r="I172" s="156"/>
      <c r="J172" s="156"/>
    </row>
    <row r="173" spans="3:10" ht="56.25" customHeight="1" x14ac:dyDescent="0.25">
      <c r="C173" s="156"/>
      <c r="D173" s="156"/>
      <c r="E173" s="156"/>
      <c r="G173" s="156"/>
      <c r="H173" s="156"/>
      <c r="I173" s="156"/>
      <c r="J173" s="156"/>
    </row>
    <row r="174" spans="3:10" ht="56.25" customHeight="1" x14ac:dyDescent="0.25">
      <c r="C174" s="156"/>
      <c r="D174" s="156"/>
      <c r="E174" s="156"/>
      <c r="G174" s="156"/>
      <c r="H174" s="156"/>
      <c r="I174" s="156"/>
      <c r="J174" s="156"/>
    </row>
    <row r="175" spans="3:10" ht="56.25" customHeight="1" x14ac:dyDescent="0.25">
      <c r="C175" s="156"/>
      <c r="D175" s="156"/>
      <c r="E175" s="156"/>
      <c r="G175" s="156"/>
      <c r="H175" s="156"/>
      <c r="I175" s="156"/>
      <c r="J175" s="156"/>
    </row>
    <row r="176" spans="3:10" ht="56.25" customHeight="1" x14ac:dyDescent="0.25">
      <c r="C176" s="156"/>
      <c r="D176" s="156"/>
      <c r="E176" s="156"/>
      <c r="G176" s="156"/>
      <c r="H176" s="156"/>
      <c r="I176" s="156"/>
      <c r="J176" s="156"/>
    </row>
    <row r="177" spans="3:10" ht="56.25" customHeight="1" x14ac:dyDescent="0.25">
      <c r="C177" s="156"/>
      <c r="D177" s="156"/>
      <c r="E177" s="156"/>
      <c r="G177" s="156"/>
      <c r="H177" s="156"/>
      <c r="I177" s="156"/>
      <c r="J177" s="156"/>
    </row>
    <row r="178" spans="3:10" ht="56.25" customHeight="1" x14ac:dyDescent="0.25">
      <c r="C178" s="156"/>
      <c r="D178" s="156"/>
      <c r="E178" s="156"/>
      <c r="G178" s="156"/>
      <c r="H178" s="156"/>
      <c r="I178" s="156"/>
      <c r="J178" s="156"/>
    </row>
    <row r="179" spans="3:10" ht="56.25" customHeight="1" x14ac:dyDescent="0.25">
      <c r="C179" s="156"/>
      <c r="D179" s="156"/>
      <c r="E179" s="156"/>
      <c r="G179" s="156"/>
      <c r="H179" s="156"/>
      <c r="I179" s="156"/>
      <c r="J179" s="156"/>
    </row>
    <row r="180" spans="3:10" ht="56.25" customHeight="1" x14ac:dyDescent="0.25">
      <c r="C180" s="156"/>
      <c r="D180" s="156"/>
      <c r="E180" s="156"/>
      <c r="G180" s="156"/>
      <c r="H180" s="156"/>
      <c r="I180" s="156"/>
      <c r="J180" s="156"/>
    </row>
    <row r="181" spans="3:10" ht="56.25" customHeight="1" x14ac:dyDescent="0.25">
      <c r="C181" s="156"/>
      <c r="D181" s="156"/>
      <c r="E181" s="156"/>
      <c r="G181" s="156"/>
      <c r="H181" s="156"/>
      <c r="I181" s="156"/>
      <c r="J181" s="156"/>
    </row>
    <row r="182" spans="3:10" ht="56.25" customHeight="1" x14ac:dyDescent="0.25">
      <c r="C182" s="156"/>
      <c r="D182" s="156"/>
      <c r="E182" s="156"/>
      <c r="G182" s="156"/>
      <c r="H182" s="156"/>
      <c r="I182" s="156"/>
      <c r="J182" s="156"/>
    </row>
    <row r="183" spans="3:10" ht="56.25" customHeight="1" x14ac:dyDescent="0.25">
      <c r="C183" s="156"/>
      <c r="D183" s="156"/>
      <c r="E183" s="156"/>
      <c r="G183" s="156"/>
      <c r="H183" s="156"/>
      <c r="I183" s="156"/>
      <c r="J183" s="156"/>
    </row>
    <row r="184" spans="3:10" ht="56.25" customHeight="1" x14ac:dyDescent="0.25">
      <c r="C184" s="156"/>
      <c r="D184" s="156"/>
      <c r="E184" s="156"/>
      <c r="G184" s="156"/>
      <c r="H184" s="156"/>
      <c r="I184" s="156"/>
      <c r="J184" s="156"/>
    </row>
    <row r="185" spans="3:10" ht="56.25" customHeight="1" x14ac:dyDescent="0.25">
      <c r="C185" s="156"/>
      <c r="D185" s="156"/>
      <c r="E185" s="156"/>
      <c r="G185" s="156"/>
      <c r="H185" s="156"/>
      <c r="I185" s="156"/>
      <c r="J185" s="156"/>
    </row>
    <row r="186" spans="3:10" ht="56.25" customHeight="1" x14ac:dyDescent="0.25">
      <c r="C186" s="156"/>
      <c r="D186" s="156"/>
      <c r="E186" s="156"/>
      <c r="G186" s="156"/>
      <c r="H186" s="156"/>
      <c r="I186" s="156"/>
      <c r="J186" s="156"/>
    </row>
    <row r="187" spans="3:10" ht="56.25" customHeight="1" x14ac:dyDescent="0.25">
      <c r="C187" s="156"/>
      <c r="D187" s="156"/>
      <c r="E187" s="156"/>
      <c r="G187" s="156"/>
      <c r="H187" s="156"/>
      <c r="I187" s="156"/>
      <c r="J187" s="156"/>
    </row>
    <row r="188" spans="3:10" ht="56.25" customHeight="1" x14ac:dyDescent="0.25">
      <c r="C188" s="156"/>
      <c r="D188" s="156"/>
      <c r="E188" s="156"/>
      <c r="G188" s="156"/>
      <c r="H188" s="156"/>
      <c r="I188" s="156"/>
      <c r="J188" s="156"/>
    </row>
    <row r="189" spans="3:10" ht="56.25" customHeight="1" x14ac:dyDescent="0.25">
      <c r="C189" s="156"/>
      <c r="D189" s="156"/>
      <c r="E189" s="156"/>
      <c r="G189" s="156"/>
      <c r="H189" s="156"/>
      <c r="I189" s="156"/>
      <c r="J189" s="156"/>
    </row>
    <row r="190" spans="3:10" ht="56.25" customHeight="1" x14ac:dyDescent="0.25">
      <c r="C190" s="156"/>
      <c r="D190" s="156"/>
      <c r="E190" s="156"/>
      <c r="G190" s="156"/>
      <c r="H190" s="156"/>
      <c r="I190" s="156"/>
      <c r="J190" s="156"/>
    </row>
    <row r="191" spans="3:10" ht="56.25" customHeight="1" x14ac:dyDescent="0.25">
      <c r="C191" s="156"/>
      <c r="D191" s="156"/>
      <c r="E191" s="156"/>
      <c r="G191" s="156"/>
      <c r="H191" s="156"/>
      <c r="I191" s="156"/>
      <c r="J191" s="156"/>
    </row>
    <row r="192" spans="3:10" ht="56.25" customHeight="1" x14ac:dyDescent="0.25">
      <c r="C192" s="156"/>
      <c r="D192" s="156"/>
      <c r="E192" s="156"/>
      <c r="G192" s="156"/>
      <c r="H192" s="156"/>
      <c r="I192" s="156"/>
      <c r="J192" s="156"/>
    </row>
    <row r="193" spans="3:10" ht="56.25" customHeight="1" x14ac:dyDescent="0.25">
      <c r="C193" s="156"/>
      <c r="D193" s="156"/>
      <c r="E193" s="156"/>
      <c r="G193" s="156"/>
      <c r="H193" s="156"/>
      <c r="I193" s="156"/>
      <c r="J193" s="156"/>
    </row>
    <row r="194" spans="3:10" ht="56.25" customHeight="1" x14ac:dyDescent="0.25">
      <c r="C194" s="156"/>
      <c r="D194" s="156"/>
      <c r="E194" s="156"/>
      <c r="G194" s="156"/>
      <c r="H194" s="156"/>
      <c r="I194" s="156"/>
      <c r="J194" s="156"/>
    </row>
    <row r="195" spans="3:10" ht="56.25" customHeight="1" x14ac:dyDescent="0.25">
      <c r="C195" s="156"/>
      <c r="D195" s="156"/>
      <c r="E195" s="156"/>
      <c r="G195" s="156"/>
      <c r="H195" s="156"/>
      <c r="I195" s="156"/>
      <c r="J195" s="156"/>
    </row>
    <row r="196" spans="3:10" ht="56.25" customHeight="1" x14ac:dyDescent="0.25">
      <c r="C196" s="156"/>
      <c r="D196" s="156"/>
      <c r="E196" s="156"/>
      <c r="G196" s="156"/>
      <c r="H196" s="156"/>
      <c r="I196" s="156"/>
      <c r="J196" s="156"/>
    </row>
    <row r="197" spans="3:10" ht="56.25" customHeight="1" x14ac:dyDescent="0.25">
      <c r="C197" s="156"/>
      <c r="D197" s="156"/>
      <c r="E197" s="156"/>
      <c r="G197" s="156"/>
      <c r="H197" s="156"/>
      <c r="I197" s="156"/>
      <c r="J197" s="156"/>
    </row>
    <row r="198" spans="3:10" ht="56.25" customHeight="1" x14ac:dyDescent="0.25">
      <c r="C198" s="156"/>
      <c r="D198" s="156"/>
      <c r="E198" s="156"/>
      <c r="G198" s="156"/>
      <c r="H198" s="156"/>
      <c r="I198" s="156"/>
      <c r="J198" s="156"/>
    </row>
    <row r="199" spans="3:10" ht="56.25" customHeight="1" x14ac:dyDescent="0.25">
      <c r="C199" s="156"/>
      <c r="D199" s="156"/>
      <c r="E199" s="156"/>
      <c r="G199" s="156"/>
      <c r="H199" s="156"/>
      <c r="I199" s="156"/>
      <c r="J199" s="156"/>
    </row>
    <row r="200" spans="3:10" ht="56.25" customHeight="1" x14ac:dyDescent="0.25">
      <c r="C200" s="156"/>
      <c r="D200" s="156"/>
      <c r="E200" s="156"/>
      <c r="G200" s="156"/>
      <c r="H200" s="156"/>
      <c r="I200" s="156"/>
      <c r="J200" s="156"/>
    </row>
    <row r="201" spans="3:10" ht="56.25" customHeight="1" x14ac:dyDescent="0.25">
      <c r="C201" s="156"/>
      <c r="D201" s="156"/>
      <c r="E201" s="156"/>
      <c r="G201" s="156"/>
      <c r="H201" s="156"/>
      <c r="I201" s="156"/>
      <c r="J201" s="156"/>
    </row>
    <row r="202" spans="3:10" ht="56.25" customHeight="1" x14ac:dyDescent="0.25">
      <c r="C202" s="156"/>
      <c r="D202" s="156"/>
      <c r="E202" s="156"/>
      <c r="G202" s="156"/>
      <c r="H202" s="156"/>
      <c r="I202" s="156"/>
      <c r="J202" s="156"/>
    </row>
    <row r="203" spans="3:10" ht="56.25" customHeight="1" x14ac:dyDescent="0.25">
      <c r="C203" s="156"/>
      <c r="D203" s="156"/>
      <c r="E203" s="156"/>
      <c r="G203" s="156"/>
      <c r="H203" s="156"/>
      <c r="I203" s="156"/>
      <c r="J203" s="156"/>
    </row>
    <row r="204" spans="3:10" ht="56.25" customHeight="1" x14ac:dyDescent="0.25">
      <c r="C204" s="156"/>
      <c r="D204" s="156"/>
      <c r="E204" s="156"/>
      <c r="G204" s="156"/>
      <c r="H204" s="156"/>
      <c r="I204" s="156"/>
      <c r="J204" s="156"/>
    </row>
    <row r="205" spans="3:10" ht="56.25" customHeight="1" x14ac:dyDescent="0.25">
      <c r="C205" s="156"/>
      <c r="D205" s="156"/>
      <c r="E205" s="156"/>
      <c r="G205" s="156"/>
      <c r="H205" s="156"/>
      <c r="I205" s="156"/>
      <c r="J205" s="156"/>
    </row>
    <row r="206" spans="3:10" ht="56.25" customHeight="1" x14ac:dyDescent="0.25">
      <c r="C206" s="156"/>
      <c r="D206" s="156"/>
      <c r="E206" s="156"/>
      <c r="G206" s="156"/>
      <c r="H206" s="156"/>
      <c r="I206" s="156"/>
      <c r="J206" s="156"/>
    </row>
    <row r="207" spans="3:10" ht="56.25" customHeight="1" x14ac:dyDescent="0.25">
      <c r="C207" s="156"/>
      <c r="D207" s="156"/>
      <c r="E207" s="156"/>
      <c r="G207" s="156"/>
      <c r="H207" s="156"/>
      <c r="I207" s="156"/>
      <c r="J207" s="156"/>
    </row>
    <row r="208" spans="3:10" ht="56.25" customHeight="1" x14ac:dyDescent="0.25">
      <c r="C208" s="156"/>
      <c r="D208" s="156"/>
      <c r="E208" s="156"/>
      <c r="G208" s="156"/>
      <c r="H208" s="156"/>
      <c r="I208" s="156"/>
      <c r="J208" s="156"/>
    </row>
    <row r="209" spans="3:10" ht="56.25" customHeight="1" x14ac:dyDescent="0.25">
      <c r="C209" s="156"/>
      <c r="D209" s="156"/>
      <c r="E209" s="156"/>
      <c r="G209" s="156"/>
      <c r="H209" s="156"/>
      <c r="I209" s="156"/>
      <c r="J209" s="156"/>
    </row>
    <row r="210" spans="3:10" ht="56.25" customHeight="1" x14ac:dyDescent="0.25">
      <c r="C210" s="156"/>
      <c r="D210" s="156"/>
      <c r="E210" s="156"/>
      <c r="G210" s="156"/>
      <c r="H210" s="156"/>
      <c r="I210" s="156"/>
      <c r="J210" s="156"/>
    </row>
    <row r="211" spans="3:10" ht="56.25" customHeight="1" x14ac:dyDescent="0.25">
      <c r="C211" s="156"/>
      <c r="D211" s="156"/>
      <c r="E211" s="156"/>
      <c r="G211" s="156"/>
      <c r="H211" s="156"/>
      <c r="I211" s="156"/>
      <c r="J211" s="156"/>
    </row>
    <row r="212" spans="3:10" ht="56.25" customHeight="1" x14ac:dyDescent="0.25">
      <c r="C212" s="156"/>
      <c r="D212" s="156"/>
      <c r="E212" s="156"/>
      <c r="G212" s="156"/>
      <c r="H212" s="156"/>
      <c r="I212" s="156"/>
      <c r="J212" s="156"/>
    </row>
    <row r="213" spans="3:10" ht="56.25" customHeight="1" x14ac:dyDescent="0.25">
      <c r="C213" s="156"/>
      <c r="D213" s="156"/>
      <c r="E213" s="156"/>
      <c r="G213" s="156"/>
      <c r="H213" s="156"/>
      <c r="I213" s="156"/>
      <c r="J213" s="156"/>
    </row>
    <row r="214" spans="3:10" ht="56.25" customHeight="1" x14ac:dyDescent="0.25">
      <c r="C214" s="156"/>
      <c r="D214" s="156"/>
      <c r="E214" s="156"/>
      <c r="G214" s="156"/>
      <c r="H214" s="156"/>
      <c r="I214" s="156"/>
      <c r="J214" s="156"/>
    </row>
    <row r="215" spans="3:10" ht="56.25" customHeight="1" x14ac:dyDescent="0.25">
      <c r="C215" s="156"/>
      <c r="D215" s="156"/>
      <c r="E215" s="156"/>
      <c r="G215" s="156"/>
      <c r="H215" s="156"/>
      <c r="I215" s="156"/>
      <c r="J215" s="156"/>
    </row>
    <row r="216" spans="3:10" ht="56.25" customHeight="1" x14ac:dyDescent="0.25">
      <c r="C216" s="156"/>
      <c r="D216" s="156"/>
      <c r="E216" s="156"/>
      <c r="G216" s="156"/>
      <c r="H216" s="156"/>
      <c r="I216" s="156"/>
      <c r="J216" s="156"/>
    </row>
    <row r="217" spans="3:10" ht="56.25" customHeight="1" x14ac:dyDescent="0.25">
      <c r="C217" s="156"/>
      <c r="D217" s="156"/>
      <c r="E217" s="156"/>
      <c r="G217" s="156"/>
      <c r="H217" s="156"/>
      <c r="I217" s="156"/>
      <c r="J217" s="156"/>
    </row>
    <row r="218" spans="3:10" ht="56.25" customHeight="1" x14ac:dyDescent="0.25">
      <c r="C218" s="156"/>
      <c r="D218" s="156"/>
      <c r="E218" s="156"/>
      <c r="G218" s="156"/>
      <c r="H218" s="156"/>
      <c r="I218" s="156"/>
      <c r="J218" s="156"/>
    </row>
    <row r="219" spans="3:10" ht="56.25" customHeight="1" x14ac:dyDescent="0.25">
      <c r="C219" s="156"/>
      <c r="D219" s="156"/>
      <c r="E219" s="156"/>
      <c r="G219" s="156"/>
      <c r="H219" s="156"/>
      <c r="I219" s="156"/>
      <c r="J219" s="156"/>
    </row>
    <row r="220" spans="3:10" ht="56.25" customHeight="1" x14ac:dyDescent="0.25">
      <c r="C220" s="156"/>
      <c r="D220" s="156"/>
      <c r="E220" s="156"/>
      <c r="G220" s="156"/>
      <c r="H220" s="156"/>
      <c r="I220" s="156"/>
      <c r="J220" s="156"/>
    </row>
    <row r="221" spans="3:10" ht="56.25" customHeight="1" x14ac:dyDescent="0.25">
      <c r="C221" s="156"/>
      <c r="D221" s="156"/>
      <c r="E221" s="156"/>
      <c r="G221" s="156"/>
      <c r="H221" s="156"/>
      <c r="I221" s="156"/>
      <c r="J221" s="156"/>
    </row>
    <row r="222" spans="3:10" ht="56.25" customHeight="1" x14ac:dyDescent="0.25">
      <c r="C222" s="156"/>
      <c r="D222" s="156"/>
      <c r="E222" s="156"/>
      <c r="G222" s="156"/>
      <c r="H222" s="156"/>
      <c r="I222" s="156"/>
      <c r="J222" s="156"/>
    </row>
    <row r="223" spans="3:10" ht="56.25" customHeight="1" x14ac:dyDescent="0.25">
      <c r="C223" s="156"/>
      <c r="D223" s="156"/>
      <c r="E223" s="156"/>
      <c r="G223" s="156"/>
      <c r="H223" s="156"/>
      <c r="I223" s="156"/>
      <c r="J223" s="156"/>
    </row>
    <row r="224" spans="3:10" ht="56.25" customHeight="1" x14ac:dyDescent="0.25">
      <c r="C224" s="156"/>
      <c r="D224" s="156"/>
      <c r="E224" s="156"/>
      <c r="G224" s="156"/>
      <c r="H224" s="156"/>
      <c r="I224" s="156"/>
      <c r="J224" s="156"/>
    </row>
    <row r="225" spans="3:10" ht="56.25" customHeight="1" x14ac:dyDescent="0.25">
      <c r="C225" s="156"/>
      <c r="D225" s="156"/>
      <c r="E225" s="156"/>
      <c r="G225" s="156"/>
      <c r="H225" s="156"/>
      <c r="I225" s="156"/>
      <c r="J225" s="156"/>
    </row>
    <row r="226" spans="3:10" ht="56.25" customHeight="1" x14ac:dyDescent="0.25">
      <c r="C226" s="156"/>
      <c r="D226" s="156"/>
      <c r="E226" s="156"/>
      <c r="G226" s="156"/>
      <c r="H226" s="156"/>
      <c r="I226" s="156"/>
      <c r="J226" s="156"/>
    </row>
    <row r="227" spans="3:10" ht="56.25" customHeight="1" x14ac:dyDescent="0.25">
      <c r="C227" s="156"/>
      <c r="D227" s="156"/>
      <c r="E227" s="156"/>
      <c r="G227" s="156"/>
      <c r="H227" s="156"/>
      <c r="I227" s="156"/>
      <c r="J227" s="156"/>
    </row>
    <row r="228" spans="3:10" ht="56.25" customHeight="1" x14ac:dyDescent="0.25">
      <c r="C228" s="156"/>
      <c r="D228" s="156"/>
      <c r="E228" s="156"/>
      <c r="G228" s="156"/>
      <c r="H228" s="156"/>
      <c r="I228" s="156"/>
      <c r="J228" s="156"/>
    </row>
    <row r="229" spans="3:10" ht="56.25" customHeight="1" x14ac:dyDescent="0.25">
      <c r="C229" s="156"/>
      <c r="D229" s="156"/>
      <c r="E229" s="156"/>
      <c r="G229" s="156"/>
      <c r="H229" s="156"/>
      <c r="I229" s="156"/>
      <c r="J229" s="156"/>
    </row>
    <row r="230" spans="3:10" ht="56.25" customHeight="1" x14ac:dyDescent="0.25">
      <c r="C230" s="156"/>
      <c r="D230" s="156"/>
      <c r="E230" s="156"/>
      <c r="G230" s="156"/>
      <c r="H230" s="156"/>
      <c r="I230" s="156"/>
      <c r="J230" s="156"/>
    </row>
    <row r="231" spans="3:10" ht="56.25" customHeight="1" x14ac:dyDescent="0.25">
      <c r="C231" s="156"/>
      <c r="D231" s="156"/>
      <c r="E231" s="156"/>
      <c r="G231" s="156"/>
      <c r="H231" s="156"/>
      <c r="I231" s="156"/>
      <c r="J231" s="156"/>
    </row>
    <row r="232" spans="3:10" ht="56.25" customHeight="1" x14ac:dyDescent="0.25">
      <c r="C232" s="156"/>
      <c r="D232" s="156"/>
      <c r="E232" s="156"/>
      <c r="G232" s="156"/>
      <c r="H232" s="156"/>
      <c r="I232" s="156"/>
      <c r="J232" s="156"/>
    </row>
    <row r="233" spans="3:10" ht="56.25" customHeight="1" x14ac:dyDescent="0.25">
      <c r="C233" s="156"/>
      <c r="D233" s="156"/>
      <c r="E233" s="156"/>
      <c r="G233" s="156"/>
      <c r="H233" s="156"/>
      <c r="I233" s="156"/>
      <c r="J233" s="156"/>
    </row>
    <row r="234" spans="3:10" ht="56.25" customHeight="1" x14ac:dyDescent="0.25">
      <c r="C234" s="156"/>
      <c r="D234" s="156"/>
      <c r="E234" s="156"/>
      <c r="G234" s="156"/>
      <c r="H234" s="156"/>
      <c r="I234" s="156"/>
      <c r="J234" s="156"/>
    </row>
    <row r="235" spans="3:10" ht="56.25" customHeight="1" x14ac:dyDescent="0.25">
      <c r="C235" s="156"/>
      <c r="D235" s="156"/>
      <c r="E235" s="156"/>
      <c r="G235" s="156"/>
      <c r="H235" s="156"/>
      <c r="I235" s="156"/>
      <c r="J235" s="156"/>
    </row>
    <row r="236" spans="3:10" ht="56.25" customHeight="1" x14ac:dyDescent="0.25">
      <c r="C236" s="156"/>
      <c r="D236" s="156"/>
      <c r="E236" s="156"/>
      <c r="G236" s="156"/>
      <c r="H236" s="156"/>
      <c r="I236" s="156"/>
      <c r="J236" s="156"/>
    </row>
    <row r="237" spans="3:10" ht="56.25" customHeight="1" x14ac:dyDescent="0.25">
      <c r="C237" s="156"/>
      <c r="D237" s="156"/>
      <c r="E237" s="156"/>
      <c r="G237" s="156"/>
      <c r="H237" s="156"/>
      <c r="I237" s="156"/>
      <c r="J237" s="156"/>
    </row>
    <row r="238" spans="3:10" ht="56.25" customHeight="1" x14ac:dyDescent="0.25">
      <c r="C238" s="156"/>
      <c r="D238" s="156"/>
      <c r="E238" s="156"/>
      <c r="G238" s="156"/>
      <c r="H238" s="156"/>
      <c r="I238" s="156"/>
      <c r="J238" s="156"/>
    </row>
    <row r="239" spans="3:10" ht="56.25" customHeight="1" x14ac:dyDescent="0.25">
      <c r="C239" s="156"/>
      <c r="D239" s="156"/>
      <c r="E239" s="156"/>
      <c r="G239" s="156"/>
      <c r="H239" s="156"/>
      <c r="I239" s="156"/>
      <c r="J239" s="156"/>
    </row>
    <row r="240" spans="3:10" ht="56.25" customHeight="1" x14ac:dyDescent="0.25">
      <c r="C240" s="156"/>
      <c r="D240" s="156"/>
      <c r="E240" s="156"/>
      <c r="G240" s="156"/>
      <c r="H240" s="156"/>
      <c r="I240" s="156"/>
      <c r="J240" s="156"/>
    </row>
    <row r="241" spans="3:10" ht="56.25" customHeight="1" x14ac:dyDescent="0.25">
      <c r="C241" s="156"/>
      <c r="D241" s="156"/>
      <c r="E241" s="156"/>
      <c r="G241" s="156"/>
      <c r="H241" s="156"/>
      <c r="I241" s="156"/>
      <c r="J241" s="156"/>
    </row>
    <row r="242" spans="3:10" ht="56.25" customHeight="1" x14ac:dyDescent="0.25">
      <c r="C242" s="156"/>
      <c r="D242" s="156"/>
      <c r="E242" s="156"/>
      <c r="G242" s="156"/>
      <c r="H242" s="156"/>
      <c r="I242" s="156"/>
      <c r="J242" s="156"/>
    </row>
    <row r="243" spans="3:10" ht="56.25" customHeight="1" x14ac:dyDescent="0.25">
      <c r="C243" s="156"/>
      <c r="D243" s="156"/>
      <c r="E243" s="156"/>
      <c r="G243" s="156"/>
      <c r="H243" s="156"/>
      <c r="I243" s="156"/>
      <c r="J243" s="156"/>
    </row>
    <row r="244" spans="3:10" ht="56.25" customHeight="1" x14ac:dyDescent="0.25">
      <c r="C244" s="156"/>
      <c r="D244" s="156"/>
      <c r="E244" s="156"/>
      <c r="G244" s="156"/>
      <c r="H244" s="156"/>
      <c r="I244" s="156"/>
      <c r="J244" s="156"/>
    </row>
    <row r="245" spans="3:10" ht="56.25" customHeight="1" x14ac:dyDescent="0.25">
      <c r="C245" s="156"/>
      <c r="D245" s="156"/>
      <c r="E245" s="156"/>
      <c r="G245" s="156"/>
      <c r="H245" s="156"/>
      <c r="I245" s="156"/>
      <c r="J245" s="156"/>
    </row>
    <row r="246" spans="3:10" ht="56.25" customHeight="1" x14ac:dyDescent="0.25">
      <c r="C246" s="156"/>
      <c r="D246" s="156"/>
      <c r="E246" s="156"/>
      <c r="G246" s="156"/>
      <c r="H246" s="156"/>
      <c r="I246" s="156"/>
      <c r="J246" s="156"/>
    </row>
    <row r="247" spans="3:10" ht="56.25" customHeight="1" x14ac:dyDescent="0.25">
      <c r="C247" s="156"/>
      <c r="D247" s="156"/>
      <c r="E247" s="156"/>
      <c r="G247" s="156"/>
      <c r="H247" s="156"/>
      <c r="I247" s="156"/>
      <c r="J247" s="156"/>
    </row>
    <row r="248" spans="3:10" ht="56.25" customHeight="1" x14ac:dyDescent="0.25">
      <c r="C248" s="156"/>
      <c r="D248" s="156"/>
      <c r="E248" s="156"/>
      <c r="G248" s="156"/>
      <c r="H248" s="156"/>
      <c r="I248" s="156"/>
      <c r="J248" s="156"/>
    </row>
    <row r="249" spans="3:10" ht="56.25" customHeight="1" x14ac:dyDescent="0.25">
      <c r="C249" s="156"/>
      <c r="D249" s="156"/>
      <c r="E249" s="156"/>
      <c r="G249" s="156"/>
      <c r="H249" s="156"/>
      <c r="I249" s="156"/>
      <c r="J249" s="156"/>
    </row>
    <row r="250" spans="3:10" ht="56.25" customHeight="1" x14ac:dyDescent="0.25">
      <c r="C250" s="156"/>
      <c r="D250" s="156"/>
      <c r="E250" s="156"/>
      <c r="G250" s="156"/>
      <c r="H250" s="156"/>
      <c r="I250" s="156"/>
      <c r="J250" s="156"/>
    </row>
    <row r="251" spans="3:10" ht="56.25" customHeight="1" x14ac:dyDescent="0.25">
      <c r="C251" s="156"/>
      <c r="D251" s="156"/>
      <c r="E251" s="156"/>
      <c r="G251" s="156"/>
      <c r="H251" s="156"/>
      <c r="I251" s="156"/>
      <c r="J251" s="156"/>
    </row>
    <row r="252" spans="3:10" ht="56.25" customHeight="1" x14ac:dyDescent="0.25">
      <c r="C252" s="156"/>
      <c r="D252" s="156"/>
      <c r="E252" s="156"/>
      <c r="G252" s="156"/>
      <c r="H252" s="156"/>
      <c r="I252" s="156"/>
      <c r="J252" s="156"/>
    </row>
    <row r="253" spans="3:10" ht="56.25" customHeight="1" x14ac:dyDescent="0.25">
      <c r="C253" s="156"/>
      <c r="D253" s="156"/>
      <c r="E253" s="156"/>
      <c r="G253" s="156"/>
      <c r="H253" s="156"/>
      <c r="I253" s="156"/>
      <c r="J253" s="156"/>
    </row>
    <row r="254" spans="3:10" ht="56.25" customHeight="1" x14ac:dyDescent="0.25">
      <c r="C254" s="156"/>
      <c r="D254" s="156"/>
      <c r="E254" s="156"/>
      <c r="G254" s="156"/>
      <c r="H254" s="156"/>
      <c r="I254" s="156"/>
      <c r="J254" s="156"/>
    </row>
    <row r="255" spans="3:10" ht="56.25" customHeight="1" x14ac:dyDescent="0.25">
      <c r="C255" s="156"/>
      <c r="D255" s="156"/>
      <c r="E255" s="156"/>
      <c r="G255" s="156"/>
      <c r="H255" s="156"/>
      <c r="I255" s="156"/>
      <c r="J255" s="156"/>
    </row>
    <row r="256" spans="3:10" ht="56.25" customHeight="1" x14ac:dyDescent="0.25">
      <c r="C256" s="156"/>
      <c r="D256" s="156"/>
      <c r="E256" s="156"/>
      <c r="G256" s="156"/>
      <c r="H256" s="156"/>
      <c r="I256" s="156"/>
      <c r="J256" s="156"/>
    </row>
    <row r="257" spans="3:10" ht="56.25" customHeight="1" x14ac:dyDescent="0.25">
      <c r="C257" s="156"/>
      <c r="D257" s="156"/>
      <c r="E257" s="156"/>
      <c r="G257" s="156"/>
      <c r="H257" s="156"/>
      <c r="I257" s="156"/>
      <c r="J257" s="156"/>
    </row>
    <row r="258" spans="3:10" ht="56.25" customHeight="1" x14ac:dyDescent="0.25">
      <c r="C258" s="156"/>
      <c r="D258" s="156"/>
      <c r="E258" s="156"/>
      <c r="G258" s="156"/>
      <c r="H258" s="156"/>
      <c r="I258" s="156"/>
      <c r="J258" s="156"/>
    </row>
    <row r="259" spans="3:10" ht="56.25" customHeight="1" x14ac:dyDescent="0.25">
      <c r="C259" s="156"/>
      <c r="D259" s="156"/>
      <c r="E259" s="156"/>
      <c r="G259" s="156"/>
      <c r="H259" s="156"/>
      <c r="I259" s="156"/>
      <c r="J259" s="156"/>
    </row>
    <row r="260" spans="3:10" ht="56.25" customHeight="1" x14ac:dyDescent="0.25">
      <c r="C260" s="156"/>
      <c r="D260" s="156"/>
      <c r="E260" s="156"/>
      <c r="G260" s="156"/>
      <c r="H260" s="156"/>
      <c r="I260" s="156"/>
      <c r="J260" s="156"/>
    </row>
    <row r="261" spans="3:10" ht="56.25" customHeight="1" x14ac:dyDescent="0.25">
      <c r="C261" s="156"/>
      <c r="D261" s="156"/>
      <c r="E261" s="156"/>
      <c r="G261" s="156"/>
      <c r="H261" s="156"/>
      <c r="I261" s="156"/>
      <c r="J261" s="156"/>
    </row>
    <row r="262" spans="3:10" ht="56.25" customHeight="1" x14ac:dyDescent="0.25">
      <c r="C262" s="156"/>
      <c r="D262" s="156"/>
      <c r="E262" s="156"/>
      <c r="G262" s="156"/>
      <c r="H262" s="156"/>
      <c r="I262" s="156"/>
      <c r="J262" s="156"/>
    </row>
    <row r="263" spans="3:10" ht="56.25" customHeight="1" x14ac:dyDescent="0.25">
      <c r="C263" s="156"/>
      <c r="D263" s="156"/>
      <c r="E263" s="156"/>
      <c r="G263" s="156"/>
      <c r="H263" s="156"/>
      <c r="I263" s="156"/>
      <c r="J263" s="156"/>
    </row>
    <row r="264" spans="3:10" ht="56.25" customHeight="1" x14ac:dyDescent="0.25">
      <c r="C264" s="156"/>
      <c r="D264" s="156"/>
      <c r="E264" s="156"/>
      <c r="G264" s="156"/>
      <c r="H264" s="156"/>
      <c r="I264" s="156"/>
      <c r="J264" s="156"/>
    </row>
    <row r="265" spans="3:10" ht="56.25" customHeight="1" x14ac:dyDescent="0.25">
      <c r="C265" s="156"/>
      <c r="D265" s="156"/>
      <c r="E265" s="156"/>
      <c r="G265" s="156"/>
      <c r="H265" s="156"/>
      <c r="I265" s="156"/>
      <c r="J265" s="156"/>
    </row>
    <row r="266" spans="3:10" ht="56.25" customHeight="1" x14ac:dyDescent="0.25">
      <c r="C266" s="156"/>
      <c r="D266" s="156"/>
      <c r="E266" s="156"/>
      <c r="G266" s="156"/>
      <c r="H266" s="156"/>
      <c r="I266" s="156"/>
      <c r="J266" s="156"/>
    </row>
    <row r="267" spans="3:10" ht="56.25" customHeight="1" x14ac:dyDescent="0.25">
      <c r="C267" s="156"/>
      <c r="D267" s="156"/>
      <c r="E267" s="156"/>
      <c r="G267" s="156"/>
      <c r="H267" s="156"/>
      <c r="I267" s="156"/>
      <c r="J267" s="156"/>
    </row>
    <row r="268" spans="3:10" ht="56.25" customHeight="1" x14ac:dyDescent="0.25">
      <c r="C268" s="156"/>
      <c r="D268" s="156"/>
      <c r="E268" s="156"/>
      <c r="G268" s="156"/>
      <c r="H268" s="156"/>
      <c r="I268" s="156"/>
      <c r="J268" s="156"/>
    </row>
    <row r="269" spans="3:10" ht="56.25" customHeight="1" x14ac:dyDescent="0.25">
      <c r="C269" s="156"/>
      <c r="D269" s="156"/>
      <c r="E269" s="156"/>
      <c r="G269" s="156"/>
      <c r="H269" s="156"/>
      <c r="I269" s="156"/>
      <c r="J269" s="156"/>
    </row>
    <row r="270" spans="3:10" ht="56.25" customHeight="1" x14ac:dyDescent="0.25">
      <c r="C270" s="156"/>
      <c r="D270" s="156"/>
      <c r="E270" s="156"/>
      <c r="G270" s="156"/>
      <c r="H270" s="156"/>
      <c r="I270" s="156"/>
      <c r="J270" s="156"/>
    </row>
    <row r="271" spans="3:10" ht="56.25" customHeight="1" x14ac:dyDescent="0.25">
      <c r="C271" s="156"/>
      <c r="D271" s="156"/>
      <c r="E271" s="156"/>
      <c r="G271" s="156"/>
      <c r="H271" s="156"/>
      <c r="I271" s="156"/>
      <c r="J271" s="156"/>
    </row>
    <row r="272" spans="3:10" ht="56.25" customHeight="1" x14ac:dyDescent="0.25">
      <c r="C272" s="156"/>
      <c r="D272" s="156"/>
      <c r="E272" s="156"/>
      <c r="G272" s="156"/>
      <c r="H272" s="156"/>
      <c r="I272" s="156"/>
      <c r="J272" s="156"/>
    </row>
    <row r="273" spans="3:10" ht="56.25" customHeight="1" x14ac:dyDescent="0.25">
      <c r="C273" s="156"/>
      <c r="D273" s="156"/>
      <c r="E273" s="156"/>
      <c r="G273" s="156"/>
      <c r="H273" s="156"/>
      <c r="I273" s="156"/>
      <c r="J273" s="156"/>
    </row>
    <row r="274" spans="3:10" ht="56.25" customHeight="1" x14ac:dyDescent="0.25">
      <c r="C274" s="156"/>
      <c r="D274" s="156"/>
      <c r="E274" s="156"/>
      <c r="G274" s="156"/>
      <c r="H274" s="156"/>
      <c r="I274" s="156"/>
      <c r="J274" s="156"/>
    </row>
    <row r="275" spans="3:10" ht="56.25" customHeight="1" x14ac:dyDescent="0.25">
      <c r="C275" s="156"/>
      <c r="D275" s="156"/>
      <c r="E275" s="156"/>
      <c r="G275" s="156"/>
      <c r="H275" s="156"/>
      <c r="I275" s="156"/>
      <c r="J275" s="156"/>
    </row>
    <row r="276" spans="3:10" ht="56.25" customHeight="1" x14ac:dyDescent="0.25">
      <c r="C276" s="156"/>
      <c r="D276" s="156"/>
      <c r="E276" s="156"/>
      <c r="G276" s="156"/>
      <c r="H276" s="156"/>
      <c r="I276" s="156"/>
      <c r="J276" s="156"/>
    </row>
    <row r="277" spans="3:10" ht="56.25" customHeight="1" x14ac:dyDescent="0.25">
      <c r="C277" s="156"/>
      <c r="D277" s="156"/>
      <c r="E277" s="156"/>
      <c r="G277" s="156"/>
      <c r="H277" s="156"/>
      <c r="I277" s="156"/>
      <c r="J277" s="156"/>
    </row>
  </sheetData>
  <mergeCells count="5">
    <mergeCell ref="A1:N1"/>
    <mergeCell ref="A11:O11"/>
    <mergeCell ref="K3:M3"/>
    <mergeCell ref="K4:M4"/>
    <mergeCell ref="K7:M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63"/>
  <sheetViews>
    <sheetView topLeftCell="A19" zoomScale="70" zoomScaleNormal="70" workbookViewId="0">
      <selection activeCell="D25" sqref="D25"/>
    </sheetView>
  </sheetViews>
  <sheetFormatPr defaultColWidth="13.42578125" defaultRowHeight="15" x14ac:dyDescent="0.25"/>
  <cols>
    <col min="1" max="1" width="4" style="156" bestFit="1" customWidth="1"/>
    <col min="2" max="2" width="20.5703125" style="156" bestFit="1" customWidth="1"/>
    <col min="3" max="3" width="18.7109375" style="179" customWidth="1"/>
    <col min="4" max="4" width="25.85546875" style="179" bestFit="1" customWidth="1"/>
    <col min="5" max="5" width="30.42578125" style="179" bestFit="1" customWidth="1"/>
    <col min="6" max="6" width="17.28515625" style="156" bestFit="1" customWidth="1"/>
    <col min="7" max="7" width="14.42578125" style="180" bestFit="1" customWidth="1"/>
    <col min="8" max="8" width="14.7109375" style="181" bestFit="1" customWidth="1"/>
    <col min="9" max="10" width="13.140625" style="181" bestFit="1" customWidth="1"/>
    <col min="11" max="11" width="16.7109375" style="182" customWidth="1"/>
    <col min="12" max="12" width="22.5703125" style="156" customWidth="1"/>
    <col min="13" max="13" width="22.5703125" style="179" customWidth="1"/>
    <col min="14" max="14" width="33.42578125" style="156" customWidth="1"/>
    <col min="15" max="15" width="16.5703125" style="156" bestFit="1" customWidth="1"/>
    <col min="16" max="16384" width="13.42578125" style="156"/>
  </cols>
  <sheetData>
    <row r="1" spans="1:18" ht="20.25" x14ac:dyDescent="0.25">
      <c r="A1" s="339" t="s">
        <v>754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191" t="s">
        <v>824</v>
      </c>
      <c r="O1" s="192">
        <v>43220</v>
      </c>
    </row>
    <row r="2" spans="1:18" ht="56.25" customHeight="1" x14ac:dyDescent="0.25">
      <c r="A2" s="157" t="s">
        <v>554</v>
      </c>
      <c r="B2" s="189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60" t="s">
        <v>755</v>
      </c>
      <c r="I2" s="161" t="s">
        <v>631</v>
      </c>
      <c r="J2" s="160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8" ht="60" customHeight="1" x14ac:dyDescent="0.25">
      <c r="A3" s="163">
        <v>1</v>
      </c>
      <c r="B3" s="163" t="s">
        <v>560</v>
      </c>
      <c r="C3" s="164" t="s">
        <v>540</v>
      </c>
      <c r="D3" s="164" t="s">
        <v>561</v>
      </c>
      <c r="E3" s="164" t="s">
        <v>668</v>
      </c>
      <c r="F3" s="165" t="s">
        <v>542</v>
      </c>
      <c r="G3" s="166">
        <v>3500</v>
      </c>
      <c r="H3" s="167">
        <v>5635.25</v>
      </c>
      <c r="I3" s="167">
        <f>759.57+165.87</f>
        <v>925.44</v>
      </c>
      <c r="J3" s="167">
        <f>MIN(H3+I3,G3)</f>
        <v>3500</v>
      </c>
      <c r="K3" s="336" t="s">
        <v>562</v>
      </c>
      <c r="L3" s="337"/>
      <c r="M3" s="338"/>
      <c r="N3" s="164" t="s">
        <v>756</v>
      </c>
      <c r="O3" s="168" t="s">
        <v>757</v>
      </c>
      <c r="Q3" s="181"/>
      <c r="R3" s="181"/>
    </row>
    <row r="4" spans="1:18" ht="60" customHeight="1" x14ac:dyDescent="0.25">
      <c r="A4" s="163">
        <v>2</v>
      </c>
      <c r="B4" s="163" t="s">
        <v>563</v>
      </c>
      <c r="C4" s="164" t="s">
        <v>540</v>
      </c>
      <c r="D4" s="164" t="s">
        <v>561</v>
      </c>
      <c r="E4" s="164" t="s">
        <v>670</v>
      </c>
      <c r="F4" s="165" t="s">
        <v>544</v>
      </c>
      <c r="G4" s="166">
        <v>18</v>
      </c>
      <c r="H4" s="167">
        <v>1620.02</v>
      </c>
      <c r="I4" s="167">
        <f>737.39+165.87</f>
        <v>903.26</v>
      </c>
      <c r="J4" s="167">
        <f>MIN(H4+I4,G4)</f>
        <v>18</v>
      </c>
      <c r="K4" s="336" t="s">
        <v>562</v>
      </c>
      <c r="L4" s="337"/>
      <c r="M4" s="338"/>
      <c r="N4" s="164" t="s">
        <v>756</v>
      </c>
      <c r="O4" s="168" t="s">
        <v>757</v>
      </c>
      <c r="Q4" s="181"/>
      <c r="R4" s="181"/>
    </row>
    <row r="5" spans="1:18" ht="60" customHeight="1" x14ac:dyDescent="0.25">
      <c r="A5" s="163">
        <v>3</v>
      </c>
      <c r="B5" s="163" t="s">
        <v>729</v>
      </c>
      <c r="C5" s="164" t="s">
        <v>730</v>
      </c>
      <c r="D5" s="169" t="s">
        <v>731</v>
      </c>
      <c r="E5" s="169" t="s">
        <v>732</v>
      </c>
      <c r="F5" s="163" t="s">
        <v>733</v>
      </c>
      <c r="G5" s="342" t="s">
        <v>758</v>
      </c>
      <c r="H5" s="343"/>
      <c r="I5" s="343"/>
      <c r="J5" s="343"/>
      <c r="K5" s="343"/>
      <c r="L5" s="343"/>
      <c r="M5" s="343"/>
      <c r="N5" s="344"/>
      <c r="O5" s="168" t="s">
        <v>825</v>
      </c>
      <c r="Q5" s="181"/>
      <c r="R5" s="181"/>
    </row>
    <row r="6" spans="1:18" ht="60" customHeight="1" x14ac:dyDescent="0.25">
      <c r="A6" s="163">
        <v>4</v>
      </c>
      <c r="B6" s="163" t="s">
        <v>759</v>
      </c>
      <c r="C6" s="164" t="s">
        <v>760</v>
      </c>
      <c r="D6" s="164" t="s">
        <v>761</v>
      </c>
      <c r="E6" s="164" t="s">
        <v>762</v>
      </c>
      <c r="F6" s="165" t="s">
        <v>763</v>
      </c>
      <c r="G6" s="166">
        <v>6823</v>
      </c>
      <c r="H6" s="167">
        <v>5788.45</v>
      </c>
      <c r="I6" s="167">
        <f>1884.12+22.73</f>
        <v>1906.85</v>
      </c>
      <c r="J6" s="167">
        <f>MIN(H6+I6,G6)</f>
        <v>6823</v>
      </c>
      <c r="K6" s="167">
        <v>1</v>
      </c>
      <c r="L6" s="167" t="s">
        <v>826</v>
      </c>
      <c r="M6" s="105" t="s">
        <v>120</v>
      </c>
      <c r="N6" s="164" t="s">
        <v>289</v>
      </c>
      <c r="O6" s="168" t="s">
        <v>757</v>
      </c>
      <c r="Q6" s="181"/>
      <c r="R6" s="181"/>
    </row>
    <row r="7" spans="1:18" ht="60" customHeight="1" x14ac:dyDescent="0.25">
      <c r="A7" s="163">
        <v>5</v>
      </c>
      <c r="B7" s="163" t="s">
        <v>764</v>
      </c>
      <c r="C7" s="164" t="s">
        <v>765</v>
      </c>
      <c r="D7" s="169" t="s">
        <v>766</v>
      </c>
      <c r="E7" s="169" t="s">
        <v>767</v>
      </c>
      <c r="F7" s="166" t="s">
        <v>768</v>
      </c>
      <c r="G7" s="166">
        <v>8180</v>
      </c>
      <c r="H7" s="167">
        <v>2546.8200000000002</v>
      </c>
      <c r="I7" s="167">
        <f>862.24+22.73</f>
        <v>884.97</v>
      </c>
      <c r="J7" s="167">
        <f t="shared" ref="J7:J8" si="0">MIN(H7+I7,G7)</f>
        <v>3431.79</v>
      </c>
      <c r="K7" s="167">
        <v>1</v>
      </c>
      <c r="L7" s="169" t="s">
        <v>827</v>
      </c>
      <c r="M7" s="105" t="s">
        <v>120</v>
      </c>
      <c r="N7" s="164" t="s">
        <v>289</v>
      </c>
      <c r="O7" s="168" t="s">
        <v>757</v>
      </c>
      <c r="Q7" s="181"/>
      <c r="R7" s="181"/>
    </row>
    <row r="8" spans="1:18" ht="60" customHeight="1" x14ac:dyDescent="0.25">
      <c r="A8" s="163">
        <v>6</v>
      </c>
      <c r="B8" s="163" t="s">
        <v>769</v>
      </c>
      <c r="C8" s="164" t="s">
        <v>770</v>
      </c>
      <c r="D8" s="169" t="s">
        <v>771</v>
      </c>
      <c r="E8" s="169" t="s">
        <v>772</v>
      </c>
      <c r="F8" s="166" t="s">
        <v>773</v>
      </c>
      <c r="G8" s="166">
        <v>5250</v>
      </c>
      <c r="H8" s="167">
        <v>940</v>
      </c>
      <c r="I8" s="167">
        <f>2086.63+22.73</f>
        <v>2109.36</v>
      </c>
      <c r="J8" s="167">
        <f t="shared" si="0"/>
        <v>3049.36</v>
      </c>
      <c r="K8" s="167">
        <v>1</v>
      </c>
      <c r="L8" s="169" t="s">
        <v>828</v>
      </c>
      <c r="M8" s="105" t="s">
        <v>120</v>
      </c>
      <c r="N8" s="164" t="s">
        <v>289</v>
      </c>
      <c r="O8" s="168" t="s">
        <v>757</v>
      </c>
      <c r="Q8" s="181"/>
      <c r="R8" s="181"/>
    </row>
    <row r="9" spans="1:18" ht="60" customHeight="1" x14ac:dyDescent="0.25">
      <c r="A9" s="163">
        <v>7</v>
      </c>
      <c r="B9" s="163" t="s">
        <v>774</v>
      </c>
      <c r="C9" s="164" t="s">
        <v>775</v>
      </c>
      <c r="D9" s="164" t="s">
        <v>776</v>
      </c>
      <c r="E9" s="164" t="s">
        <v>777</v>
      </c>
      <c r="F9" s="163" t="s">
        <v>778</v>
      </c>
      <c r="G9" s="345" t="s">
        <v>779</v>
      </c>
      <c r="H9" s="346"/>
      <c r="I9" s="346"/>
      <c r="J9" s="346"/>
      <c r="K9" s="346"/>
      <c r="L9" s="346"/>
      <c r="M9" s="346"/>
      <c r="N9" s="347"/>
      <c r="O9" s="168" t="s">
        <v>825</v>
      </c>
      <c r="Q9" s="181"/>
      <c r="R9" s="181"/>
    </row>
    <row r="10" spans="1:18" ht="60" customHeight="1" x14ac:dyDescent="0.25">
      <c r="A10" s="163">
        <v>8</v>
      </c>
      <c r="B10" s="163" t="s">
        <v>780</v>
      </c>
      <c r="C10" s="164" t="s">
        <v>781</v>
      </c>
      <c r="D10" s="164" t="s">
        <v>782</v>
      </c>
      <c r="E10" s="164" t="s">
        <v>783</v>
      </c>
      <c r="F10" s="163" t="s">
        <v>784</v>
      </c>
      <c r="G10" s="342" t="s">
        <v>758</v>
      </c>
      <c r="H10" s="343"/>
      <c r="I10" s="343"/>
      <c r="J10" s="343"/>
      <c r="K10" s="343"/>
      <c r="L10" s="343"/>
      <c r="M10" s="343"/>
      <c r="N10" s="344"/>
      <c r="O10" s="168" t="s">
        <v>825</v>
      </c>
      <c r="Q10" s="181"/>
      <c r="R10" s="181"/>
    </row>
    <row r="11" spans="1:18" ht="60" customHeight="1" x14ac:dyDescent="0.25">
      <c r="A11" s="163">
        <v>9</v>
      </c>
      <c r="B11" s="163" t="s">
        <v>785</v>
      </c>
      <c r="C11" s="164" t="s">
        <v>786</v>
      </c>
      <c r="D11" s="164" t="s">
        <v>787</v>
      </c>
      <c r="E11" s="164" t="s">
        <v>788</v>
      </c>
      <c r="F11" s="163" t="s">
        <v>789</v>
      </c>
      <c r="G11" s="342" t="s">
        <v>758</v>
      </c>
      <c r="H11" s="343"/>
      <c r="I11" s="343"/>
      <c r="J11" s="343"/>
      <c r="K11" s="343"/>
      <c r="L11" s="343"/>
      <c r="M11" s="343"/>
      <c r="N11" s="344"/>
      <c r="O11" s="168" t="s">
        <v>825</v>
      </c>
      <c r="Q11" s="181"/>
      <c r="R11" s="181"/>
    </row>
    <row r="12" spans="1:18" ht="60" customHeight="1" x14ac:dyDescent="0.25">
      <c r="A12" s="163">
        <v>10</v>
      </c>
      <c r="B12" s="163" t="s">
        <v>790</v>
      </c>
      <c r="C12" s="164" t="s">
        <v>791</v>
      </c>
      <c r="D12" s="164" t="s">
        <v>792</v>
      </c>
      <c r="E12" s="164" t="s">
        <v>793</v>
      </c>
      <c r="F12" s="163" t="s">
        <v>794</v>
      </c>
      <c r="G12" s="163">
        <v>9810</v>
      </c>
      <c r="H12" s="163">
        <v>807.32</v>
      </c>
      <c r="I12" s="167">
        <f>559.36+22.73</f>
        <v>582.09</v>
      </c>
      <c r="J12" s="167">
        <f>MIN(H12+I12,G12)</f>
        <v>1389.41</v>
      </c>
      <c r="K12" s="167">
        <v>1</v>
      </c>
      <c r="L12" s="169" t="s">
        <v>829</v>
      </c>
      <c r="M12" s="105" t="s">
        <v>120</v>
      </c>
      <c r="N12" s="164" t="s">
        <v>289</v>
      </c>
      <c r="O12" s="168" t="s">
        <v>757</v>
      </c>
      <c r="Q12" s="181"/>
      <c r="R12" s="181"/>
    </row>
    <row r="13" spans="1:18" ht="56.25" customHeight="1" x14ac:dyDescent="0.25">
      <c r="A13" s="163">
        <v>11</v>
      </c>
      <c r="B13" s="163" t="s">
        <v>795</v>
      </c>
      <c r="C13" s="164" t="s">
        <v>791</v>
      </c>
      <c r="D13" s="164" t="s">
        <v>792</v>
      </c>
      <c r="E13" s="164" t="s">
        <v>796</v>
      </c>
      <c r="F13" s="163" t="s">
        <v>794</v>
      </c>
      <c r="G13" s="166">
        <v>5180</v>
      </c>
      <c r="H13" s="167">
        <v>417.46</v>
      </c>
      <c r="I13" s="167">
        <f>559.36+22.73</f>
        <v>582.09</v>
      </c>
      <c r="J13" s="167">
        <f t="shared" ref="J13" si="1">MIN(H13+I13,G13)</f>
        <v>999.55</v>
      </c>
      <c r="K13" s="167">
        <v>1</v>
      </c>
      <c r="L13" s="194" t="s">
        <v>829</v>
      </c>
      <c r="M13" s="105" t="s">
        <v>120</v>
      </c>
      <c r="N13" s="164" t="s">
        <v>289</v>
      </c>
      <c r="O13" s="168" t="s">
        <v>757</v>
      </c>
      <c r="P13" s="171"/>
      <c r="Q13" s="181"/>
      <c r="R13" s="181"/>
    </row>
    <row r="14" spans="1:18" ht="56.25" customHeight="1" x14ac:dyDescent="0.25">
      <c r="A14" s="163">
        <v>12</v>
      </c>
      <c r="B14" s="163" t="s">
        <v>797</v>
      </c>
      <c r="C14" s="164" t="s">
        <v>791</v>
      </c>
      <c r="D14" s="164" t="s">
        <v>792</v>
      </c>
      <c r="E14" s="164" t="s">
        <v>798</v>
      </c>
      <c r="F14" s="163" t="s">
        <v>794</v>
      </c>
      <c r="G14" s="166">
        <v>6210</v>
      </c>
      <c r="H14" s="167">
        <v>617</v>
      </c>
      <c r="I14" s="167">
        <f>559.36+22.73</f>
        <v>582.09</v>
      </c>
      <c r="J14" s="167">
        <f>MIN(H14+I14,G14)</f>
        <v>1199.0900000000001</v>
      </c>
      <c r="K14" s="167">
        <v>1</v>
      </c>
      <c r="L14" s="194" t="s">
        <v>829</v>
      </c>
      <c r="M14" s="105" t="s">
        <v>120</v>
      </c>
      <c r="N14" s="164" t="s">
        <v>289</v>
      </c>
      <c r="O14" s="168" t="s">
        <v>757</v>
      </c>
      <c r="P14" s="171"/>
      <c r="Q14" s="181"/>
      <c r="R14" s="181"/>
    </row>
    <row r="15" spans="1:18" ht="56.25" customHeight="1" x14ac:dyDescent="0.25">
      <c r="A15" s="163">
        <v>13</v>
      </c>
      <c r="B15" s="163" t="s">
        <v>799</v>
      </c>
      <c r="C15" s="164" t="s">
        <v>791</v>
      </c>
      <c r="D15" s="164" t="s">
        <v>792</v>
      </c>
      <c r="E15" s="169" t="s">
        <v>800</v>
      </c>
      <c r="F15" s="163" t="s">
        <v>794</v>
      </c>
      <c r="G15" s="166">
        <v>6210</v>
      </c>
      <c r="H15" s="167">
        <v>617</v>
      </c>
      <c r="I15" s="167">
        <f>559.36+22.73</f>
        <v>582.09</v>
      </c>
      <c r="J15" s="167">
        <f>MIN(H15+I15,G15)</f>
        <v>1199.0900000000001</v>
      </c>
      <c r="K15" s="167">
        <v>1</v>
      </c>
      <c r="L15" s="167" t="s">
        <v>829</v>
      </c>
      <c r="M15" s="105" t="s">
        <v>120</v>
      </c>
      <c r="N15" s="164" t="s">
        <v>289</v>
      </c>
      <c r="O15" s="168" t="s">
        <v>757</v>
      </c>
      <c r="P15" s="171"/>
      <c r="Q15" s="181"/>
      <c r="R15" s="181"/>
    </row>
    <row r="16" spans="1:18" ht="56.25" customHeight="1" x14ac:dyDescent="0.25">
      <c r="A16" s="163">
        <v>14</v>
      </c>
      <c r="B16" s="163" t="s">
        <v>801</v>
      </c>
      <c r="C16" s="164" t="s">
        <v>791</v>
      </c>
      <c r="D16" s="164" t="s">
        <v>792</v>
      </c>
      <c r="E16" s="164" t="s">
        <v>802</v>
      </c>
      <c r="F16" s="163" t="s">
        <v>794</v>
      </c>
      <c r="G16" s="166">
        <v>6210</v>
      </c>
      <c r="H16" s="167">
        <v>617</v>
      </c>
      <c r="I16" s="167">
        <f>559.36+22.73</f>
        <v>582.09</v>
      </c>
      <c r="J16" s="167">
        <f t="shared" ref="J16:J25" si="2">MIN(H16+I16,G16)</f>
        <v>1199.0900000000001</v>
      </c>
      <c r="K16" s="167">
        <v>1</v>
      </c>
      <c r="L16" s="167" t="s">
        <v>829</v>
      </c>
      <c r="M16" s="105" t="s">
        <v>120</v>
      </c>
      <c r="N16" s="164" t="s">
        <v>289</v>
      </c>
      <c r="O16" s="168" t="s">
        <v>757</v>
      </c>
      <c r="P16" s="171"/>
      <c r="Q16" s="181"/>
      <c r="R16" s="181"/>
    </row>
    <row r="17" spans="1:18" ht="56.25" customHeight="1" x14ac:dyDescent="0.25">
      <c r="A17" s="163">
        <v>15</v>
      </c>
      <c r="B17" s="163" t="s">
        <v>803</v>
      </c>
      <c r="C17" s="164" t="s">
        <v>791</v>
      </c>
      <c r="D17" s="164" t="s">
        <v>792</v>
      </c>
      <c r="E17" s="169" t="s">
        <v>804</v>
      </c>
      <c r="F17" s="163" t="s">
        <v>794</v>
      </c>
      <c r="G17" s="166">
        <v>6210</v>
      </c>
      <c r="H17" s="167">
        <v>617</v>
      </c>
      <c r="I17" s="167">
        <f t="shared" ref="I17:I26" si="3">559.36+22.72</f>
        <v>582.08000000000004</v>
      </c>
      <c r="J17" s="167">
        <f t="shared" si="2"/>
        <v>1199.08</v>
      </c>
      <c r="K17" s="167">
        <v>1</v>
      </c>
      <c r="L17" s="167" t="s">
        <v>829</v>
      </c>
      <c r="M17" s="105" t="s">
        <v>120</v>
      </c>
      <c r="N17" s="164" t="s">
        <v>289</v>
      </c>
      <c r="O17" s="168" t="s">
        <v>757</v>
      </c>
      <c r="P17" s="171"/>
      <c r="Q17" s="181"/>
      <c r="R17" s="181"/>
    </row>
    <row r="18" spans="1:18" ht="56.25" customHeight="1" x14ac:dyDescent="0.25">
      <c r="A18" s="163">
        <v>16</v>
      </c>
      <c r="B18" s="163" t="s">
        <v>805</v>
      </c>
      <c r="C18" s="164" t="s">
        <v>791</v>
      </c>
      <c r="D18" s="164" t="s">
        <v>792</v>
      </c>
      <c r="E18" s="169" t="s">
        <v>806</v>
      </c>
      <c r="F18" s="163" t="s">
        <v>794</v>
      </c>
      <c r="G18" s="166">
        <v>6210</v>
      </c>
      <c r="H18" s="167">
        <v>617</v>
      </c>
      <c r="I18" s="167">
        <f t="shared" si="3"/>
        <v>582.08000000000004</v>
      </c>
      <c r="J18" s="167">
        <f t="shared" si="2"/>
        <v>1199.08</v>
      </c>
      <c r="K18" s="167">
        <v>1</v>
      </c>
      <c r="L18" s="167" t="s">
        <v>829</v>
      </c>
      <c r="M18" s="105" t="s">
        <v>120</v>
      </c>
      <c r="N18" s="164" t="s">
        <v>289</v>
      </c>
      <c r="O18" s="168" t="s">
        <v>757</v>
      </c>
      <c r="P18" s="171"/>
      <c r="Q18" s="181"/>
      <c r="R18" s="181"/>
    </row>
    <row r="19" spans="1:18" ht="56.25" customHeight="1" x14ac:dyDescent="0.25">
      <c r="A19" s="163">
        <v>17</v>
      </c>
      <c r="B19" s="163" t="s">
        <v>807</v>
      </c>
      <c r="C19" s="164" t="s">
        <v>791</v>
      </c>
      <c r="D19" s="164" t="s">
        <v>808</v>
      </c>
      <c r="E19" s="164" t="s">
        <v>809</v>
      </c>
      <c r="F19" s="163" t="s">
        <v>794</v>
      </c>
      <c r="G19" s="166">
        <v>223840</v>
      </c>
      <c r="H19" s="190">
        <v>11659.23</v>
      </c>
      <c r="I19" s="167">
        <f t="shared" si="3"/>
        <v>582.08000000000004</v>
      </c>
      <c r="J19" s="167">
        <f t="shared" si="2"/>
        <v>12241.31</v>
      </c>
      <c r="K19" s="167">
        <v>1</v>
      </c>
      <c r="L19" s="167" t="s">
        <v>829</v>
      </c>
      <c r="M19" s="105" t="s">
        <v>120</v>
      </c>
      <c r="N19" s="164" t="s">
        <v>289</v>
      </c>
      <c r="O19" s="168" t="s">
        <v>757</v>
      </c>
      <c r="P19" s="171"/>
      <c r="Q19" s="181"/>
      <c r="R19" s="181"/>
    </row>
    <row r="20" spans="1:18" ht="56.25" customHeight="1" x14ac:dyDescent="0.25">
      <c r="A20" s="163">
        <v>18</v>
      </c>
      <c r="B20" s="163" t="s">
        <v>810</v>
      </c>
      <c r="C20" s="164" t="s">
        <v>791</v>
      </c>
      <c r="D20" s="164" t="s">
        <v>792</v>
      </c>
      <c r="E20" s="164" t="s">
        <v>811</v>
      </c>
      <c r="F20" s="163" t="s">
        <v>794</v>
      </c>
      <c r="G20" s="166">
        <v>18390</v>
      </c>
      <c r="H20" s="190">
        <v>1363.93</v>
      </c>
      <c r="I20" s="167">
        <f t="shared" si="3"/>
        <v>582.08000000000004</v>
      </c>
      <c r="J20" s="167">
        <f t="shared" si="2"/>
        <v>1946.0100000000002</v>
      </c>
      <c r="K20" s="167">
        <v>1</v>
      </c>
      <c r="L20" s="167" t="s">
        <v>829</v>
      </c>
      <c r="M20" s="105" t="s">
        <v>120</v>
      </c>
      <c r="N20" s="164" t="s">
        <v>289</v>
      </c>
      <c r="O20" s="168" t="s">
        <v>757</v>
      </c>
      <c r="P20" s="171"/>
      <c r="Q20" s="181"/>
      <c r="R20" s="181"/>
    </row>
    <row r="21" spans="1:18" ht="56.25" customHeight="1" x14ac:dyDescent="0.25">
      <c r="A21" s="163">
        <v>19</v>
      </c>
      <c r="B21" s="163" t="s">
        <v>812</v>
      </c>
      <c r="C21" s="164" t="s">
        <v>791</v>
      </c>
      <c r="D21" s="164" t="s">
        <v>792</v>
      </c>
      <c r="E21" s="164" t="s">
        <v>813</v>
      </c>
      <c r="F21" s="163" t="s">
        <v>794</v>
      </c>
      <c r="G21" s="166">
        <v>6210</v>
      </c>
      <c r="H21" s="190">
        <v>617</v>
      </c>
      <c r="I21" s="167">
        <f t="shared" si="3"/>
        <v>582.08000000000004</v>
      </c>
      <c r="J21" s="167">
        <f t="shared" si="2"/>
        <v>1199.08</v>
      </c>
      <c r="K21" s="167">
        <v>1</v>
      </c>
      <c r="L21" s="167" t="s">
        <v>829</v>
      </c>
      <c r="M21" s="105" t="s">
        <v>120</v>
      </c>
      <c r="N21" s="164" t="s">
        <v>289</v>
      </c>
      <c r="O21" s="168" t="s">
        <v>757</v>
      </c>
      <c r="P21" s="171"/>
      <c r="Q21" s="181"/>
      <c r="R21" s="181"/>
    </row>
    <row r="22" spans="1:18" ht="56.25" customHeight="1" x14ac:dyDescent="0.25">
      <c r="A22" s="163">
        <v>20</v>
      </c>
      <c r="B22" s="163" t="s">
        <v>814</v>
      </c>
      <c r="C22" s="164" t="s">
        <v>791</v>
      </c>
      <c r="D22" s="164" t="s">
        <v>792</v>
      </c>
      <c r="E22" s="164" t="s">
        <v>815</v>
      </c>
      <c r="F22" s="163" t="s">
        <v>794</v>
      </c>
      <c r="G22" s="166">
        <v>6210</v>
      </c>
      <c r="H22" s="190">
        <v>617</v>
      </c>
      <c r="I22" s="167">
        <f t="shared" si="3"/>
        <v>582.08000000000004</v>
      </c>
      <c r="J22" s="167">
        <f t="shared" si="2"/>
        <v>1199.08</v>
      </c>
      <c r="K22" s="167">
        <v>1</v>
      </c>
      <c r="L22" s="167" t="s">
        <v>829</v>
      </c>
      <c r="M22" s="105" t="s">
        <v>120</v>
      </c>
      <c r="N22" s="164" t="s">
        <v>289</v>
      </c>
      <c r="O22" s="168" t="s">
        <v>757</v>
      </c>
      <c r="P22" s="171"/>
      <c r="Q22" s="181"/>
      <c r="R22" s="181"/>
    </row>
    <row r="23" spans="1:18" ht="56.25" customHeight="1" x14ac:dyDescent="0.25">
      <c r="A23" s="163">
        <v>21</v>
      </c>
      <c r="B23" s="163" t="s">
        <v>816</v>
      </c>
      <c r="C23" s="164" t="s">
        <v>791</v>
      </c>
      <c r="D23" s="164" t="s">
        <v>792</v>
      </c>
      <c r="E23" s="164" t="s">
        <v>817</v>
      </c>
      <c r="F23" s="163" t="s">
        <v>794</v>
      </c>
      <c r="G23" s="166">
        <v>4220</v>
      </c>
      <c r="H23" s="167">
        <v>444.75</v>
      </c>
      <c r="I23" s="167">
        <f t="shared" si="3"/>
        <v>582.08000000000004</v>
      </c>
      <c r="J23" s="167">
        <f t="shared" si="2"/>
        <v>1026.83</v>
      </c>
      <c r="K23" s="167">
        <v>1</v>
      </c>
      <c r="L23" s="167" t="s">
        <v>829</v>
      </c>
      <c r="M23" s="105" t="s">
        <v>120</v>
      </c>
      <c r="N23" s="164" t="s">
        <v>289</v>
      </c>
      <c r="O23" s="168" t="s">
        <v>757</v>
      </c>
      <c r="Q23" s="181"/>
      <c r="R23" s="181"/>
    </row>
    <row r="24" spans="1:18" ht="56.25" customHeight="1" x14ac:dyDescent="0.25">
      <c r="A24" s="163">
        <v>22</v>
      </c>
      <c r="B24" s="163" t="s">
        <v>818</v>
      </c>
      <c r="C24" s="164" t="s">
        <v>791</v>
      </c>
      <c r="D24" s="164" t="s">
        <v>792</v>
      </c>
      <c r="E24" s="164" t="s">
        <v>819</v>
      </c>
      <c r="F24" s="163" t="s">
        <v>794</v>
      </c>
      <c r="G24" s="166">
        <v>6210</v>
      </c>
      <c r="H24" s="167">
        <v>637.61</v>
      </c>
      <c r="I24" s="167">
        <f t="shared" si="3"/>
        <v>582.08000000000004</v>
      </c>
      <c r="J24" s="167">
        <f t="shared" si="2"/>
        <v>1219.69</v>
      </c>
      <c r="K24" s="167">
        <v>1</v>
      </c>
      <c r="L24" s="194" t="s">
        <v>830</v>
      </c>
      <c r="M24" s="105" t="s">
        <v>120</v>
      </c>
      <c r="N24" s="164" t="s">
        <v>289</v>
      </c>
      <c r="O24" s="168" t="s">
        <v>757</v>
      </c>
      <c r="Q24" s="181"/>
      <c r="R24" s="181"/>
    </row>
    <row r="25" spans="1:18" ht="56.25" customHeight="1" x14ac:dyDescent="0.25">
      <c r="A25" s="163">
        <v>23</v>
      </c>
      <c r="B25" s="163" t="s">
        <v>820</v>
      </c>
      <c r="C25" s="164" t="s">
        <v>791</v>
      </c>
      <c r="D25" s="164" t="s">
        <v>792</v>
      </c>
      <c r="E25" s="169" t="s">
        <v>821</v>
      </c>
      <c r="F25" s="163" t="s">
        <v>794</v>
      </c>
      <c r="G25" s="166">
        <v>6210</v>
      </c>
      <c r="H25" s="167">
        <v>617</v>
      </c>
      <c r="I25" s="167">
        <f t="shared" si="3"/>
        <v>582.08000000000004</v>
      </c>
      <c r="J25" s="167">
        <f t="shared" si="2"/>
        <v>1199.08</v>
      </c>
      <c r="K25" s="167">
        <v>1</v>
      </c>
      <c r="L25" s="167" t="s">
        <v>829</v>
      </c>
      <c r="M25" s="105" t="s">
        <v>120</v>
      </c>
      <c r="N25" s="164" t="s">
        <v>289</v>
      </c>
      <c r="O25" s="168" t="s">
        <v>757</v>
      </c>
      <c r="Q25" s="181"/>
      <c r="R25" s="181"/>
    </row>
    <row r="26" spans="1:18" ht="56.25" customHeight="1" x14ac:dyDescent="0.25">
      <c r="A26" s="163">
        <v>24</v>
      </c>
      <c r="B26" s="163" t="s">
        <v>822</v>
      </c>
      <c r="C26" s="164" t="s">
        <v>791</v>
      </c>
      <c r="D26" s="164" t="s">
        <v>792</v>
      </c>
      <c r="E26" s="164" t="s">
        <v>823</v>
      </c>
      <c r="F26" s="163" t="s">
        <v>794</v>
      </c>
      <c r="G26" s="166">
        <v>2980</v>
      </c>
      <c r="H26" s="167">
        <v>295.67</v>
      </c>
      <c r="I26" s="167">
        <f t="shared" si="3"/>
        <v>582.08000000000004</v>
      </c>
      <c r="J26" s="167">
        <f>MIN(H26+I26,G26)</f>
        <v>877.75</v>
      </c>
      <c r="K26" s="167">
        <v>1</v>
      </c>
      <c r="L26" s="167" t="s">
        <v>831</v>
      </c>
      <c r="M26" s="105" t="s">
        <v>120</v>
      </c>
      <c r="N26" s="164" t="s">
        <v>289</v>
      </c>
      <c r="O26" s="168" t="s">
        <v>757</v>
      </c>
      <c r="Q26" s="181"/>
      <c r="R26" s="181"/>
    </row>
    <row r="27" spans="1:18" ht="15.75" x14ac:dyDescent="0.25">
      <c r="A27" s="335" t="s">
        <v>645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171"/>
    </row>
    <row r="28" spans="1:18" ht="56.25" customHeight="1" x14ac:dyDescent="0.25">
      <c r="C28" s="156"/>
      <c r="D28" s="156"/>
      <c r="E28" s="156"/>
      <c r="G28" s="156"/>
      <c r="H28" s="156"/>
      <c r="I28" s="156"/>
      <c r="Q28" s="181"/>
    </row>
    <row r="29" spans="1:18" ht="56.25" customHeight="1" x14ac:dyDescent="0.25">
      <c r="C29" s="156"/>
      <c r="D29" s="156"/>
      <c r="E29" s="156"/>
      <c r="G29" s="156"/>
      <c r="H29" s="156"/>
      <c r="I29" s="156"/>
      <c r="J29" s="156"/>
    </row>
    <row r="30" spans="1:18" ht="56.25" customHeight="1" x14ac:dyDescent="0.25">
      <c r="C30" s="156"/>
      <c r="D30" s="156"/>
      <c r="E30" s="156"/>
      <c r="G30" s="193"/>
      <c r="H30" s="193"/>
      <c r="I30" s="193"/>
      <c r="J30" s="193"/>
      <c r="K30" s="193"/>
    </row>
    <row r="31" spans="1:18" ht="56.25" customHeight="1" x14ac:dyDescent="0.25">
      <c r="C31" s="156"/>
      <c r="D31" s="156"/>
      <c r="E31" s="156"/>
      <c r="G31" s="156"/>
      <c r="H31" s="156"/>
      <c r="I31" s="156"/>
      <c r="J31" s="156"/>
    </row>
    <row r="32" spans="1:18" ht="56.25" customHeight="1" x14ac:dyDescent="0.25">
      <c r="C32" s="156"/>
      <c r="D32" s="156"/>
      <c r="E32" s="156"/>
      <c r="G32" s="156"/>
      <c r="H32" s="156"/>
      <c r="I32" s="156"/>
      <c r="J32" s="156"/>
    </row>
    <row r="33" spans="3:10" ht="56.25" customHeight="1" x14ac:dyDescent="0.25">
      <c r="C33" s="156"/>
      <c r="D33" s="156"/>
      <c r="E33" s="156"/>
      <c r="G33" s="156"/>
      <c r="H33" s="156"/>
      <c r="I33" s="156"/>
      <c r="J33" s="156"/>
    </row>
    <row r="34" spans="3:10" ht="56.25" customHeight="1" x14ac:dyDescent="0.25">
      <c r="C34" s="156"/>
      <c r="D34" s="156"/>
      <c r="E34" s="156"/>
      <c r="G34" s="156"/>
      <c r="H34" s="156"/>
      <c r="I34" s="156"/>
      <c r="J34" s="156"/>
    </row>
    <row r="35" spans="3:10" ht="56.25" customHeight="1" x14ac:dyDescent="0.25">
      <c r="C35" s="156"/>
      <c r="D35" s="156"/>
      <c r="E35" s="156"/>
      <c r="G35" s="156"/>
      <c r="H35" s="156"/>
      <c r="I35" s="156"/>
      <c r="J35" s="156"/>
    </row>
    <row r="36" spans="3:10" ht="56.25" customHeight="1" x14ac:dyDescent="0.25">
      <c r="C36" s="156"/>
      <c r="D36" s="156"/>
      <c r="E36" s="156"/>
      <c r="G36" s="156"/>
      <c r="H36" s="156"/>
      <c r="I36" s="156"/>
      <c r="J36" s="156"/>
    </row>
    <row r="37" spans="3:10" ht="56.25" customHeight="1" x14ac:dyDescent="0.25">
      <c r="C37" s="156"/>
      <c r="D37" s="156"/>
      <c r="E37" s="156"/>
      <c r="G37" s="156"/>
      <c r="H37" s="156"/>
      <c r="I37" s="156"/>
      <c r="J37" s="156"/>
    </row>
    <row r="38" spans="3:10" ht="56.25" customHeight="1" x14ac:dyDescent="0.25">
      <c r="C38" s="156"/>
      <c r="D38" s="156"/>
      <c r="E38" s="156"/>
      <c r="G38" s="156"/>
      <c r="H38" s="156"/>
      <c r="I38" s="156"/>
      <c r="J38" s="156"/>
    </row>
    <row r="39" spans="3:10" ht="56.25" customHeight="1" x14ac:dyDescent="0.25">
      <c r="C39" s="156"/>
      <c r="D39" s="156"/>
      <c r="E39" s="156"/>
      <c r="G39" s="156"/>
      <c r="H39" s="156"/>
      <c r="I39" s="156"/>
      <c r="J39" s="156"/>
    </row>
    <row r="40" spans="3:10" ht="56.25" customHeight="1" x14ac:dyDescent="0.25">
      <c r="C40" s="156"/>
      <c r="D40" s="156"/>
      <c r="E40" s="156"/>
      <c r="G40" s="156"/>
      <c r="H40" s="156"/>
      <c r="I40" s="156"/>
      <c r="J40" s="156"/>
    </row>
    <row r="41" spans="3:10" ht="56.25" customHeight="1" x14ac:dyDescent="0.25">
      <c r="C41" s="156"/>
      <c r="D41" s="156"/>
      <c r="E41" s="156"/>
      <c r="G41" s="156"/>
      <c r="H41" s="156"/>
      <c r="I41" s="156"/>
      <c r="J41" s="156"/>
    </row>
    <row r="42" spans="3:10" ht="56.25" customHeight="1" x14ac:dyDescent="0.25">
      <c r="C42" s="156"/>
      <c r="D42" s="156"/>
      <c r="E42" s="156"/>
      <c r="G42" s="156"/>
      <c r="H42" s="156"/>
      <c r="I42" s="156"/>
      <c r="J42" s="156"/>
    </row>
    <row r="43" spans="3:10" ht="56.25" customHeight="1" x14ac:dyDescent="0.25">
      <c r="C43" s="156"/>
      <c r="D43" s="156"/>
      <c r="E43" s="156"/>
      <c r="G43" s="156"/>
      <c r="H43" s="156"/>
      <c r="I43" s="156"/>
      <c r="J43" s="156"/>
    </row>
    <row r="44" spans="3:10" ht="56.25" customHeight="1" x14ac:dyDescent="0.25">
      <c r="C44" s="156"/>
      <c r="D44" s="156"/>
      <c r="E44" s="156"/>
      <c r="G44" s="156"/>
      <c r="H44" s="156"/>
      <c r="I44" s="156"/>
      <c r="J44" s="156"/>
    </row>
    <row r="45" spans="3:10" ht="56.25" customHeight="1" x14ac:dyDescent="0.25">
      <c r="C45" s="156"/>
      <c r="D45" s="156"/>
      <c r="E45" s="156"/>
      <c r="G45" s="156"/>
      <c r="H45" s="156"/>
      <c r="I45" s="156"/>
      <c r="J45" s="156"/>
    </row>
    <row r="46" spans="3:10" ht="56.25" customHeight="1" x14ac:dyDescent="0.25">
      <c r="C46" s="156"/>
      <c r="D46" s="156"/>
      <c r="E46" s="156"/>
      <c r="G46" s="156"/>
      <c r="H46" s="156"/>
      <c r="I46" s="156"/>
      <c r="J46" s="156"/>
    </row>
    <row r="47" spans="3:10" ht="56.25" customHeight="1" x14ac:dyDescent="0.25">
      <c r="C47" s="156"/>
      <c r="D47" s="156"/>
      <c r="E47" s="156"/>
      <c r="G47" s="156"/>
      <c r="H47" s="156"/>
      <c r="I47" s="156"/>
      <c r="J47" s="156"/>
    </row>
    <row r="48" spans="3:10" ht="56.25" customHeight="1" x14ac:dyDescent="0.25">
      <c r="C48" s="156"/>
      <c r="D48" s="156"/>
      <c r="E48" s="156"/>
      <c r="G48" s="156"/>
      <c r="H48" s="156"/>
      <c r="I48" s="156"/>
      <c r="J48" s="156"/>
    </row>
    <row r="49" spans="3:10" ht="56.25" customHeight="1" x14ac:dyDescent="0.25">
      <c r="C49" s="156"/>
      <c r="D49" s="156"/>
      <c r="E49" s="156"/>
      <c r="G49" s="156"/>
      <c r="H49" s="156"/>
      <c r="I49" s="156"/>
      <c r="J49" s="156"/>
    </row>
    <row r="50" spans="3:10" ht="56.25" customHeight="1" x14ac:dyDescent="0.25">
      <c r="C50" s="156"/>
      <c r="D50" s="156"/>
      <c r="E50" s="156"/>
      <c r="G50" s="156"/>
      <c r="H50" s="156"/>
      <c r="I50" s="156"/>
      <c r="J50" s="156"/>
    </row>
    <row r="51" spans="3:10" ht="56.25" customHeight="1" x14ac:dyDescent="0.25">
      <c r="C51" s="156"/>
      <c r="D51" s="156"/>
      <c r="E51" s="156"/>
      <c r="G51" s="156"/>
      <c r="H51" s="156"/>
      <c r="I51" s="156"/>
      <c r="J51" s="156"/>
    </row>
    <row r="52" spans="3:10" ht="56.25" customHeight="1" x14ac:dyDescent="0.25">
      <c r="C52" s="156"/>
      <c r="D52" s="156"/>
      <c r="E52" s="156"/>
      <c r="G52" s="156"/>
      <c r="H52" s="156"/>
      <c r="I52" s="156"/>
      <c r="J52" s="156"/>
    </row>
    <row r="53" spans="3:10" ht="56.25" customHeight="1" x14ac:dyDescent="0.25">
      <c r="C53" s="156"/>
      <c r="D53" s="156"/>
      <c r="E53" s="156"/>
      <c r="G53" s="156"/>
      <c r="H53" s="156"/>
      <c r="I53" s="156"/>
      <c r="J53" s="156"/>
    </row>
    <row r="54" spans="3:10" ht="56.25" customHeight="1" x14ac:dyDescent="0.25">
      <c r="C54" s="156"/>
      <c r="D54" s="156"/>
      <c r="E54" s="156"/>
      <c r="G54" s="156"/>
      <c r="H54" s="156"/>
      <c r="I54" s="156"/>
      <c r="J54" s="156"/>
    </row>
    <row r="55" spans="3:10" ht="56.25" customHeight="1" x14ac:dyDescent="0.25">
      <c r="C55" s="156"/>
      <c r="D55" s="156"/>
      <c r="E55" s="156"/>
      <c r="G55" s="156"/>
      <c r="H55" s="156"/>
      <c r="I55" s="156"/>
      <c r="J55" s="156"/>
    </row>
    <row r="56" spans="3:10" ht="56.25" customHeight="1" x14ac:dyDescent="0.25">
      <c r="C56" s="156"/>
      <c r="D56" s="156"/>
      <c r="E56" s="156"/>
      <c r="G56" s="156"/>
      <c r="H56" s="156"/>
      <c r="I56" s="156"/>
      <c r="J56" s="156"/>
    </row>
    <row r="57" spans="3:10" ht="56.25" customHeight="1" x14ac:dyDescent="0.25">
      <c r="C57" s="156"/>
      <c r="D57" s="156"/>
      <c r="E57" s="156"/>
      <c r="G57" s="156"/>
      <c r="H57" s="156"/>
      <c r="I57" s="156"/>
      <c r="J57" s="156"/>
    </row>
    <row r="58" spans="3:10" ht="56.25" customHeight="1" x14ac:dyDescent="0.25">
      <c r="C58" s="156"/>
      <c r="D58" s="156"/>
      <c r="E58" s="156"/>
      <c r="G58" s="156"/>
      <c r="H58" s="156"/>
      <c r="I58" s="156"/>
      <c r="J58" s="156"/>
    </row>
    <row r="59" spans="3:10" ht="56.25" customHeight="1" x14ac:dyDescent="0.25">
      <c r="C59" s="156"/>
      <c r="D59" s="156"/>
      <c r="E59" s="156"/>
      <c r="G59" s="156"/>
      <c r="H59" s="156"/>
      <c r="I59" s="156"/>
      <c r="J59" s="156"/>
    </row>
    <row r="60" spans="3:10" ht="56.25" customHeight="1" x14ac:dyDescent="0.25">
      <c r="C60" s="156"/>
      <c r="D60" s="156"/>
      <c r="E60" s="156"/>
      <c r="G60" s="156"/>
      <c r="H60" s="156"/>
      <c r="I60" s="156"/>
      <c r="J60" s="156"/>
    </row>
    <row r="61" spans="3:10" ht="56.25" customHeight="1" x14ac:dyDescent="0.25">
      <c r="C61" s="156"/>
      <c r="D61" s="156"/>
      <c r="E61" s="156"/>
      <c r="G61" s="156"/>
      <c r="H61" s="156"/>
      <c r="I61" s="156"/>
      <c r="J61" s="156"/>
    </row>
    <row r="62" spans="3:10" ht="56.25" customHeight="1" x14ac:dyDescent="0.25">
      <c r="C62" s="156"/>
      <c r="D62" s="156"/>
      <c r="E62" s="156"/>
      <c r="G62" s="156"/>
      <c r="H62" s="156"/>
      <c r="I62" s="156"/>
      <c r="J62" s="156"/>
    </row>
    <row r="63" spans="3:10" ht="56.25" customHeight="1" x14ac:dyDescent="0.25">
      <c r="C63" s="156"/>
      <c r="D63" s="156"/>
      <c r="E63" s="156"/>
      <c r="G63" s="156"/>
      <c r="H63" s="156"/>
      <c r="I63" s="156"/>
      <c r="J63" s="156"/>
    </row>
    <row r="64" spans="3:10" ht="56.25" customHeight="1" x14ac:dyDescent="0.25">
      <c r="C64" s="156"/>
      <c r="D64" s="156"/>
      <c r="E64" s="156"/>
      <c r="G64" s="156"/>
      <c r="H64" s="156"/>
      <c r="I64" s="156"/>
      <c r="J64" s="156"/>
    </row>
    <row r="65" spans="3:10" ht="56.25" customHeight="1" x14ac:dyDescent="0.25">
      <c r="C65" s="156"/>
      <c r="D65" s="156"/>
      <c r="E65" s="156"/>
      <c r="G65" s="156"/>
      <c r="H65" s="156"/>
      <c r="I65" s="156"/>
      <c r="J65" s="156"/>
    </row>
    <row r="66" spans="3:10" ht="56.25" customHeight="1" x14ac:dyDescent="0.25">
      <c r="C66" s="156"/>
      <c r="D66" s="156"/>
      <c r="E66" s="156"/>
      <c r="G66" s="156"/>
      <c r="H66" s="156"/>
      <c r="I66" s="156"/>
      <c r="J66" s="156"/>
    </row>
    <row r="67" spans="3:10" ht="56.25" customHeight="1" x14ac:dyDescent="0.25">
      <c r="C67" s="156"/>
      <c r="D67" s="156"/>
      <c r="E67" s="156"/>
      <c r="G67" s="156"/>
      <c r="H67" s="156"/>
      <c r="I67" s="156"/>
      <c r="J67" s="156"/>
    </row>
    <row r="68" spans="3:10" ht="56.25" customHeight="1" x14ac:dyDescent="0.25">
      <c r="C68" s="156"/>
      <c r="D68" s="156"/>
      <c r="E68" s="156"/>
      <c r="G68" s="156"/>
      <c r="H68" s="156"/>
      <c r="I68" s="156"/>
      <c r="J68" s="156"/>
    </row>
    <row r="69" spans="3:10" ht="56.25" customHeight="1" x14ac:dyDescent="0.25">
      <c r="C69" s="156"/>
      <c r="D69" s="156"/>
      <c r="E69" s="156"/>
      <c r="G69" s="156"/>
      <c r="H69" s="156"/>
      <c r="I69" s="156"/>
      <c r="J69" s="156"/>
    </row>
    <row r="70" spans="3:10" ht="56.25" customHeight="1" x14ac:dyDescent="0.25">
      <c r="C70" s="156"/>
      <c r="D70" s="156"/>
      <c r="E70" s="156"/>
      <c r="G70" s="156"/>
      <c r="H70" s="156"/>
      <c r="I70" s="156"/>
      <c r="J70" s="156"/>
    </row>
    <row r="71" spans="3:10" ht="56.25" customHeight="1" x14ac:dyDescent="0.25">
      <c r="C71" s="156"/>
      <c r="D71" s="156"/>
      <c r="E71" s="156"/>
      <c r="G71" s="156"/>
      <c r="H71" s="156"/>
      <c r="I71" s="156"/>
      <c r="J71" s="156"/>
    </row>
    <row r="72" spans="3:10" ht="56.25" customHeight="1" x14ac:dyDescent="0.25">
      <c r="C72" s="156"/>
      <c r="D72" s="156"/>
      <c r="E72" s="156"/>
      <c r="G72" s="156"/>
      <c r="H72" s="156"/>
      <c r="I72" s="156"/>
      <c r="J72" s="156"/>
    </row>
    <row r="73" spans="3:10" ht="56.25" customHeight="1" x14ac:dyDescent="0.25">
      <c r="C73" s="156"/>
      <c r="D73" s="156"/>
      <c r="E73" s="156"/>
      <c r="G73" s="156"/>
      <c r="H73" s="156"/>
      <c r="I73" s="156"/>
      <c r="J73" s="156"/>
    </row>
    <row r="74" spans="3:10" ht="56.25" customHeight="1" x14ac:dyDescent="0.25">
      <c r="C74" s="156"/>
      <c r="D74" s="156"/>
      <c r="E74" s="156"/>
      <c r="G74" s="156"/>
      <c r="H74" s="156"/>
      <c r="I74" s="156"/>
      <c r="J74" s="156"/>
    </row>
    <row r="75" spans="3:10" ht="56.25" customHeight="1" x14ac:dyDescent="0.25">
      <c r="C75" s="156"/>
      <c r="D75" s="156"/>
      <c r="E75" s="156"/>
      <c r="G75" s="156"/>
      <c r="H75" s="156"/>
      <c r="I75" s="156"/>
      <c r="J75" s="156"/>
    </row>
    <row r="76" spans="3:10" ht="56.25" customHeight="1" x14ac:dyDescent="0.25">
      <c r="C76" s="156"/>
      <c r="D76" s="156"/>
      <c r="E76" s="156"/>
      <c r="G76" s="156"/>
      <c r="H76" s="156"/>
      <c r="I76" s="156"/>
      <c r="J76" s="156"/>
    </row>
    <row r="77" spans="3:10" ht="56.25" customHeight="1" x14ac:dyDescent="0.25">
      <c r="C77" s="156"/>
      <c r="D77" s="156"/>
      <c r="E77" s="156"/>
      <c r="G77" s="156"/>
      <c r="H77" s="156"/>
      <c r="I77" s="156"/>
      <c r="J77" s="156"/>
    </row>
    <row r="78" spans="3:10" ht="56.25" customHeight="1" x14ac:dyDescent="0.25">
      <c r="C78" s="156"/>
      <c r="D78" s="156"/>
      <c r="E78" s="156"/>
      <c r="G78" s="156"/>
      <c r="H78" s="156"/>
      <c r="I78" s="156"/>
      <c r="J78" s="156"/>
    </row>
    <row r="79" spans="3:10" ht="56.25" customHeight="1" x14ac:dyDescent="0.25">
      <c r="C79" s="156"/>
      <c r="D79" s="156"/>
      <c r="E79" s="156"/>
      <c r="G79" s="156"/>
      <c r="H79" s="156"/>
      <c r="I79" s="156"/>
      <c r="J79" s="156"/>
    </row>
    <row r="80" spans="3:10" ht="56.25" customHeight="1" x14ac:dyDescent="0.25">
      <c r="C80" s="156"/>
      <c r="D80" s="156"/>
      <c r="E80" s="156"/>
      <c r="G80" s="156"/>
      <c r="H80" s="156"/>
      <c r="I80" s="156"/>
      <c r="J80" s="156"/>
    </row>
    <row r="81" spans="3:10" ht="56.25" customHeight="1" x14ac:dyDescent="0.25">
      <c r="C81" s="156"/>
      <c r="D81" s="156"/>
      <c r="E81" s="156"/>
      <c r="G81" s="156"/>
      <c r="H81" s="156"/>
      <c r="I81" s="156"/>
      <c r="J81" s="156"/>
    </row>
    <row r="82" spans="3:10" ht="56.25" customHeight="1" x14ac:dyDescent="0.25">
      <c r="C82" s="156"/>
      <c r="D82" s="156"/>
      <c r="E82" s="156"/>
      <c r="G82" s="156"/>
      <c r="H82" s="156"/>
      <c r="I82" s="156"/>
      <c r="J82" s="156"/>
    </row>
    <row r="83" spans="3:10" ht="56.25" customHeight="1" x14ac:dyDescent="0.25">
      <c r="C83" s="156"/>
      <c r="D83" s="156"/>
      <c r="E83" s="156"/>
      <c r="G83" s="156"/>
      <c r="H83" s="156"/>
      <c r="I83" s="156"/>
      <c r="J83" s="156"/>
    </row>
    <row r="84" spans="3:10" ht="56.25" customHeight="1" x14ac:dyDescent="0.25">
      <c r="C84" s="156"/>
      <c r="D84" s="156"/>
      <c r="E84" s="156"/>
      <c r="G84" s="156"/>
      <c r="H84" s="156"/>
      <c r="I84" s="156"/>
      <c r="J84" s="156"/>
    </row>
    <row r="85" spans="3:10" ht="56.25" customHeight="1" x14ac:dyDescent="0.25">
      <c r="C85" s="156"/>
      <c r="D85" s="156"/>
      <c r="E85" s="156"/>
      <c r="G85" s="156"/>
      <c r="H85" s="156"/>
      <c r="I85" s="156"/>
      <c r="J85" s="156"/>
    </row>
    <row r="86" spans="3:10" ht="56.25" customHeight="1" x14ac:dyDescent="0.25">
      <c r="C86" s="156"/>
      <c r="D86" s="156"/>
      <c r="E86" s="156"/>
      <c r="G86" s="156"/>
      <c r="H86" s="156"/>
      <c r="I86" s="156"/>
      <c r="J86" s="156"/>
    </row>
    <row r="87" spans="3:10" ht="56.25" customHeight="1" x14ac:dyDescent="0.25">
      <c r="C87" s="156"/>
      <c r="D87" s="156"/>
      <c r="E87" s="156"/>
      <c r="G87" s="156"/>
      <c r="H87" s="156"/>
      <c r="I87" s="156"/>
      <c r="J87" s="156"/>
    </row>
    <row r="88" spans="3:10" ht="56.25" customHeight="1" x14ac:dyDescent="0.25">
      <c r="C88" s="156"/>
      <c r="D88" s="156"/>
      <c r="E88" s="156"/>
      <c r="G88" s="156"/>
      <c r="H88" s="156"/>
      <c r="I88" s="156"/>
      <c r="J88" s="156"/>
    </row>
    <row r="89" spans="3:10" ht="56.25" customHeight="1" x14ac:dyDescent="0.25">
      <c r="C89" s="156"/>
      <c r="D89" s="156"/>
      <c r="E89" s="156"/>
      <c r="G89" s="156"/>
      <c r="H89" s="156"/>
      <c r="I89" s="156"/>
      <c r="J89" s="156"/>
    </row>
    <row r="90" spans="3:10" ht="56.25" customHeight="1" x14ac:dyDescent="0.25">
      <c r="C90" s="156"/>
      <c r="D90" s="156"/>
      <c r="E90" s="156"/>
      <c r="G90" s="156"/>
      <c r="H90" s="156"/>
      <c r="I90" s="156"/>
      <c r="J90" s="156"/>
    </row>
    <row r="91" spans="3:10" ht="56.25" customHeight="1" x14ac:dyDescent="0.25">
      <c r="C91" s="156"/>
      <c r="D91" s="156"/>
      <c r="E91" s="156"/>
      <c r="G91" s="156"/>
      <c r="H91" s="156"/>
      <c r="I91" s="156"/>
      <c r="J91" s="156"/>
    </row>
    <row r="92" spans="3:10" ht="56.25" customHeight="1" x14ac:dyDescent="0.25">
      <c r="C92" s="156"/>
      <c r="D92" s="156"/>
      <c r="E92" s="156"/>
      <c r="G92" s="156"/>
      <c r="H92" s="156"/>
      <c r="I92" s="156"/>
      <c r="J92" s="156"/>
    </row>
    <row r="93" spans="3:10" ht="56.25" customHeight="1" x14ac:dyDescent="0.25">
      <c r="C93" s="156"/>
      <c r="D93" s="156"/>
      <c r="E93" s="156"/>
      <c r="G93" s="156"/>
      <c r="H93" s="156"/>
      <c r="I93" s="156"/>
      <c r="J93" s="156"/>
    </row>
    <row r="94" spans="3:10" ht="56.25" customHeight="1" x14ac:dyDescent="0.25">
      <c r="C94" s="156"/>
      <c r="D94" s="156"/>
      <c r="E94" s="156"/>
      <c r="G94" s="156"/>
      <c r="H94" s="156"/>
      <c r="I94" s="156"/>
      <c r="J94" s="156"/>
    </row>
    <row r="95" spans="3:10" ht="56.25" customHeight="1" x14ac:dyDescent="0.25">
      <c r="C95" s="156"/>
      <c r="D95" s="156"/>
      <c r="E95" s="156"/>
      <c r="G95" s="156"/>
      <c r="H95" s="156"/>
      <c r="I95" s="156"/>
      <c r="J95" s="156"/>
    </row>
    <row r="96" spans="3:10" ht="56.25" customHeight="1" x14ac:dyDescent="0.25">
      <c r="C96" s="156"/>
      <c r="D96" s="156"/>
      <c r="E96" s="156"/>
      <c r="G96" s="156"/>
      <c r="H96" s="156"/>
      <c r="I96" s="156"/>
      <c r="J96" s="156"/>
    </row>
    <row r="97" spans="3:10" ht="56.25" customHeight="1" x14ac:dyDescent="0.25">
      <c r="C97" s="156"/>
      <c r="D97" s="156"/>
      <c r="E97" s="156"/>
      <c r="G97" s="156"/>
      <c r="H97" s="156"/>
      <c r="I97" s="156"/>
      <c r="J97" s="156"/>
    </row>
    <row r="98" spans="3:10" ht="56.25" customHeight="1" x14ac:dyDescent="0.25">
      <c r="C98" s="156"/>
      <c r="D98" s="156"/>
      <c r="E98" s="156"/>
      <c r="G98" s="156"/>
      <c r="H98" s="156"/>
      <c r="I98" s="156"/>
      <c r="J98" s="156"/>
    </row>
    <row r="99" spans="3:10" ht="56.25" customHeight="1" x14ac:dyDescent="0.25">
      <c r="C99" s="156"/>
      <c r="D99" s="156"/>
      <c r="E99" s="156"/>
      <c r="G99" s="156"/>
      <c r="H99" s="156"/>
      <c r="I99" s="156"/>
      <c r="J99" s="156"/>
    </row>
    <row r="100" spans="3:10" ht="56.25" customHeight="1" x14ac:dyDescent="0.25">
      <c r="C100" s="156"/>
      <c r="D100" s="156"/>
      <c r="E100" s="156"/>
      <c r="G100" s="156"/>
      <c r="H100" s="156"/>
      <c r="I100" s="156"/>
      <c r="J100" s="156"/>
    </row>
    <row r="101" spans="3:10" ht="56.25" customHeight="1" x14ac:dyDescent="0.25">
      <c r="C101" s="156"/>
      <c r="D101" s="156"/>
      <c r="E101" s="156"/>
      <c r="G101" s="156"/>
      <c r="H101" s="156"/>
      <c r="I101" s="156"/>
      <c r="J101" s="156"/>
    </row>
    <row r="102" spans="3:10" ht="56.25" customHeight="1" x14ac:dyDescent="0.25">
      <c r="C102" s="156"/>
      <c r="D102" s="156"/>
      <c r="E102" s="156"/>
      <c r="G102" s="156"/>
      <c r="H102" s="156"/>
      <c r="I102" s="156"/>
      <c r="J102" s="156"/>
    </row>
    <row r="103" spans="3:10" ht="56.25" customHeight="1" x14ac:dyDescent="0.25">
      <c r="C103" s="156"/>
      <c r="D103" s="156"/>
      <c r="E103" s="156"/>
      <c r="G103" s="156"/>
      <c r="H103" s="156"/>
      <c r="I103" s="156"/>
      <c r="J103" s="156"/>
    </row>
    <row r="104" spans="3:10" ht="56.25" customHeight="1" x14ac:dyDescent="0.25">
      <c r="C104" s="156"/>
      <c r="D104" s="156"/>
      <c r="E104" s="156"/>
      <c r="G104" s="156"/>
      <c r="H104" s="156"/>
      <c r="I104" s="156"/>
      <c r="J104" s="156"/>
    </row>
    <row r="105" spans="3:10" ht="56.25" customHeight="1" x14ac:dyDescent="0.25">
      <c r="C105" s="156"/>
      <c r="D105" s="156"/>
      <c r="E105" s="156"/>
      <c r="G105" s="156"/>
      <c r="H105" s="156"/>
      <c r="I105" s="156"/>
      <c r="J105" s="156"/>
    </row>
    <row r="106" spans="3:10" ht="56.25" customHeight="1" x14ac:dyDescent="0.25">
      <c r="C106" s="156"/>
      <c r="D106" s="156"/>
      <c r="E106" s="156"/>
      <c r="G106" s="156"/>
      <c r="H106" s="156"/>
      <c r="I106" s="156"/>
      <c r="J106" s="156"/>
    </row>
    <row r="107" spans="3:10" ht="56.25" customHeight="1" x14ac:dyDescent="0.25">
      <c r="C107" s="156"/>
      <c r="D107" s="156"/>
      <c r="E107" s="156"/>
      <c r="G107" s="156"/>
      <c r="H107" s="156"/>
      <c r="I107" s="156"/>
      <c r="J107" s="156"/>
    </row>
    <row r="108" spans="3:10" ht="56.25" customHeight="1" x14ac:dyDescent="0.25">
      <c r="C108" s="156"/>
      <c r="D108" s="156"/>
      <c r="E108" s="156"/>
      <c r="G108" s="156"/>
      <c r="H108" s="156"/>
      <c r="I108" s="156"/>
      <c r="J108" s="156"/>
    </row>
    <row r="109" spans="3:10" ht="56.25" customHeight="1" x14ac:dyDescent="0.25">
      <c r="C109" s="156"/>
      <c r="D109" s="156"/>
      <c r="E109" s="156"/>
      <c r="G109" s="156"/>
      <c r="H109" s="156"/>
      <c r="I109" s="156"/>
      <c r="J109" s="156"/>
    </row>
    <row r="110" spans="3:10" ht="56.25" customHeight="1" x14ac:dyDescent="0.25">
      <c r="C110" s="156"/>
      <c r="D110" s="156"/>
      <c r="E110" s="156"/>
      <c r="G110" s="156"/>
      <c r="H110" s="156"/>
      <c r="I110" s="156"/>
      <c r="J110" s="156"/>
    </row>
    <row r="111" spans="3:10" ht="56.25" customHeight="1" x14ac:dyDescent="0.25">
      <c r="C111" s="156"/>
      <c r="D111" s="156"/>
      <c r="E111" s="156"/>
      <c r="G111" s="156"/>
      <c r="H111" s="156"/>
      <c r="I111" s="156"/>
      <c r="J111" s="156"/>
    </row>
    <row r="112" spans="3:10" ht="56.25" customHeight="1" x14ac:dyDescent="0.25">
      <c r="C112" s="156"/>
      <c r="D112" s="156"/>
      <c r="E112" s="156"/>
      <c r="G112" s="156"/>
      <c r="H112" s="156"/>
      <c r="I112" s="156"/>
      <c r="J112" s="156"/>
    </row>
    <row r="113" spans="3:10" ht="56.25" customHeight="1" x14ac:dyDescent="0.25">
      <c r="C113" s="156"/>
      <c r="D113" s="156"/>
      <c r="E113" s="156"/>
      <c r="G113" s="156"/>
      <c r="H113" s="156"/>
      <c r="I113" s="156"/>
      <c r="J113" s="156"/>
    </row>
    <row r="114" spans="3:10" ht="56.25" customHeight="1" x14ac:dyDescent="0.25">
      <c r="C114" s="156"/>
      <c r="D114" s="156"/>
      <c r="E114" s="156"/>
      <c r="G114" s="156"/>
      <c r="H114" s="156"/>
      <c r="I114" s="156"/>
      <c r="J114" s="156"/>
    </row>
    <row r="115" spans="3:10" ht="56.25" customHeight="1" x14ac:dyDescent="0.25">
      <c r="C115" s="156"/>
      <c r="D115" s="156"/>
      <c r="E115" s="156"/>
      <c r="G115" s="156"/>
      <c r="H115" s="156"/>
      <c r="I115" s="156"/>
      <c r="J115" s="156"/>
    </row>
    <row r="116" spans="3:10" ht="56.25" customHeight="1" x14ac:dyDescent="0.25">
      <c r="C116" s="156"/>
      <c r="D116" s="156"/>
      <c r="E116" s="156"/>
      <c r="G116" s="156"/>
      <c r="H116" s="156"/>
      <c r="I116" s="156"/>
      <c r="J116" s="156"/>
    </row>
    <row r="117" spans="3:10" ht="56.25" customHeight="1" x14ac:dyDescent="0.25">
      <c r="C117" s="156"/>
      <c r="D117" s="156"/>
      <c r="E117" s="156"/>
      <c r="G117" s="156"/>
      <c r="H117" s="156"/>
      <c r="I117" s="156"/>
      <c r="J117" s="156"/>
    </row>
    <row r="118" spans="3:10" ht="56.25" customHeight="1" x14ac:dyDescent="0.25">
      <c r="C118" s="156"/>
      <c r="D118" s="156"/>
      <c r="E118" s="156"/>
      <c r="G118" s="156"/>
      <c r="H118" s="156"/>
      <c r="I118" s="156"/>
      <c r="J118" s="156"/>
    </row>
    <row r="119" spans="3:10" ht="56.25" customHeight="1" x14ac:dyDescent="0.25">
      <c r="C119" s="156"/>
      <c r="D119" s="156"/>
      <c r="E119" s="156"/>
      <c r="G119" s="156"/>
      <c r="H119" s="156"/>
      <c r="I119" s="156"/>
      <c r="J119" s="156"/>
    </row>
    <row r="120" spans="3:10" ht="56.25" customHeight="1" x14ac:dyDescent="0.25">
      <c r="C120" s="156"/>
      <c r="D120" s="156"/>
      <c r="E120" s="156"/>
      <c r="G120" s="156"/>
      <c r="H120" s="156"/>
      <c r="I120" s="156"/>
      <c r="J120" s="156"/>
    </row>
    <row r="121" spans="3:10" ht="56.25" customHeight="1" x14ac:dyDescent="0.25">
      <c r="C121" s="156"/>
      <c r="D121" s="156"/>
      <c r="E121" s="156"/>
      <c r="G121" s="156"/>
      <c r="H121" s="156"/>
      <c r="I121" s="156"/>
      <c r="J121" s="156"/>
    </row>
    <row r="122" spans="3:10" ht="56.25" customHeight="1" x14ac:dyDescent="0.25">
      <c r="C122" s="156"/>
      <c r="D122" s="156"/>
      <c r="E122" s="156"/>
      <c r="G122" s="156"/>
      <c r="H122" s="156"/>
      <c r="I122" s="156"/>
      <c r="J122" s="156"/>
    </row>
    <row r="123" spans="3:10" ht="56.25" customHeight="1" x14ac:dyDescent="0.25">
      <c r="C123" s="156"/>
      <c r="D123" s="156"/>
      <c r="E123" s="156"/>
      <c r="G123" s="156"/>
      <c r="H123" s="156"/>
      <c r="I123" s="156"/>
      <c r="J123" s="156"/>
    </row>
    <row r="124" spans="3:10" ht="56.25" customHeight="1" x14ac:dyDescent="0.25">
      <c r="C124" s="156"/>
      <c r="D124" s="156"/>
      <c r="E124" s="156"/>
      <c r="G124" s="156"/>
      <c r="H124" s="156"/>
      <c r="I124" s="156"/>
      <c r="J124" s="156"/>
    </row>
    <row r="125" spans="3:10" ht="56.25" customHeight="1" x14ac:dyDescent="0.25">
      <c r="C125" s="156"/>
      <c r="D125" s="156"/>
      <c r="E125" s="156"/>
      <c r="G125" s="156"/>
      <c r="H125" s="156"/>
      <c r="I125" s="156"/>
      <c r="J125" s="156"/>
    </row>
    <row r="126" spans="3:10" ht="56.25" customHeight="1" x14ac:dyDescent="0.25">
      <c r="C126" s="156"/>
      <c r="D126" s="156"/>
      <c r="E126" s="156"/>
      <c r="G126" s="156"/>
      <c r="H126" s="156"/>
      <c r="I126" s="156"/>
      <c r="J126" s="156"/>
    </row>
    <row r="127" spans="3:10" ht="56.25" customHeight="1" x14ac:dyDescent="0.25">
      <c r="C127" s="156"/>
      <c r="D127" s="156"/>
      <c r="E127" s="156"/>
      <c r="G127" s="156"/>
      <c r="H127" s="156"/>
      <c r="I127" s="156"/>
      <c r="J127" s="156"/>
    </row>
    <row r="128" spans="3:10" ht="56.25" customHeight="1" x14ac:dyDescent="0.25">
      <c r="C128" s="156"/>
      <c r="D128" s="156"/>
      <c r="E128" s="156"/>
      <c r="G128" s="156"/>
      <c r="H128" s="156"/>
      <c r="I128" s="156"/>
      <c r="J128" s="156"/>
    </row>
    <row r="129" spans="3:10" ht="56.25" customHeight="1" x14ac:dyDescent="0.25">
      <c r="C129" s="156"/>
      <c r="D129" s="156"/>
      <c r="E129" s="156"/>
      <c r="G129" s="156"/>
      <c r="H129" s="156"/>
      <c r="I129" s="156"/>
      <c r="J129" s="156"/>
    </row>
    <row r="130" spans="3:10" ht="56.25" customHeight="1" x14ac:dyDescent="0.25">
      <c r="C130" s="156"/>
      <c r="D130" s="156"/>
      <c r="E130" s="156"/>
      <c r="G130" s="156"/>
      <c r="H130" s="156"/>
      <c r="I130" s="156"/>
      <c r="J130" s="156"/>
    </row>
    <row r="131" spans="3:10" ht="56.25" customHeight="1" x14ac:dyDescent="0.25">
      <c r="C131" s="156"/>
      <c r="D131" s="156"/>
      <c r="E131" s="156"/>
      <c r="G131" s="156"/>
      <c r="H131" s="156"/>
      <c r="I131" s="156"/>
      <c r="J131" s="156"/>
    </row>
    <row r="132" spans="3:10" ht="56.25" customHeight="1" x14ac:dyDescent="0.25">
      <c r="C132" s="156"/>
      <c r="D132" s="156"/>
      <c r="E132" s="156"/>
      <c r="G132" s="156"/>
      <c r="H132" s="156"/>
      <c r="I132" s="156"/>
      <c r="J132" s="156"/>
    </row>
    <row r="133" spans="3:10" ht="56.25" customHeight="1" x14ac:dyDescent="0.25">
      <c r="C133" s="156"/>
      <c r="D133" s="156"/>
      <c r="E133" s="156"/>
      <c r="G133" s="156"/>
      <c r="H133" s="156"/>
      <c r="I133" s="156"/>
      <c r="J133" s="156"/>
    </row>
    <row r="134" spans="3:10" ht="56.25" customHeight="1" x14ac:dyDescent="0.25">
      <c r="C134" s="156"/>
      <c r="D134" s="156"/>
      <c r="E134" s="156"/>
      <c r="G134" s="156"/>
      <c r="H134" s="156"/>
      <c r="I134" s="156"/>
      <c r="J134" s="156"/>
    </row>
    <row r="135" spans="3:10" ht="56.25" customHeight="1" x14ac:dyDescent="0.25">
      <c r="C135" s="156"/>
      <c r="D135" s="156"/>
      <c r="E135" s="156"/>
      <c r="G135" s="156"/>
      <c r="H135" s="156"/>
      <c r="I135" s="156"/>
      <c r="J135" s="156"/>
    </row>
    <row r="136" spans="3:10" ht="56.25" customHeight="1" x14ac:dyDescent="0.25">
      <c r="C136" s="156"/>
      <c r="D136" s="156"/>
      <c r="E136" s="156"/>
      <c r="G136" s="156"/>
      <c r="H136" s="156"/>
      <c r="I136" s="156"/>
      <c r="J136" s="156"/>
    </row>
    <row r="137" spans="3:10" ht="56.25" customHeight="1" x14ac:dyDescent="0.25">
      <c r="C137" s="156"/>
      <c r="D137" s="156"/>
      <c r="E137" s="156"/>
      <c r="G137" s="156"/>
      <c r="H137" s="156"/>
      <c r="I137" s="156"/>
      <c r="J137" s="156"/>
    </row>
    <row r="138" spans="3:10" ht="56.25" customHeight="1" x14ac:dyDescent="0.25">
      <c r="C138" s="156"/>
      <c r="D138" s="156"/>
      <c r="E138" s="156"/>
      <c r="G138" s="156"/>
      <c r="H138" s="156"/>
      <c r="I138" s="156"/>
      <c r="J138" s="156"/>
    </row>
    <row r="139" spans="3:10" ht="56.25" customHeight="1" x14ac:dyDescent="0.25">
      <c r="C139" s="156"/>
      <c r="D139" s="156"/>
      <c r="E139" s="156"/>
      <c r="G139" s="156"/>
      <c r="H139" s="156"/>
      <c r="I139" s="156"/>
      <c r="J139" s="156"/>
    </row>
    <row r="140" spans="3:10" ht="56.25" customHeight="1" x14ac:dyDescent="0.25">
      <c r="C140" s="156"/>
      <c r="D140" s="156"/>
      <c r="E140" s="156"/>
      <c r="G140" s="156"/>
      <c r="H140" s="156"/>
      <c r="I140" s="156"/>
      <c r="J140" s="156"/>
    </row>
    <row r="141" spans="3:10" ht="56.25" customHeight="1" x14ac:dyDescent="0.25">
      <c r="C141" s="156"/>
      <c r="D141" s="156"/>
      <c r="E141" s="156"/>
      <c r="G141" s="156"/>
      <c r="H141" s="156"/>
      <c r="I141" s="156"/>
      <c r="J141" s="156"/>
    </row>
    <row r="142" spans="3:10" ht="56.25" customHeight="1" x14ac:dyDescent="0.25">
      <c r="C142" s="156"/>
      <c r="D142" s="156"/>
      <c r="E142" s="156"/>
      <c r="G142" s="156"/>
      <c r="H142" s="156"/>
      <c r="I142" s="156"/>
      <c r="J142" s="156"/>
    </row>
    <row r="143" spans="3:10" ht="56.25" customHeight="1" x14ac:dyDescent="0.25">
      <c r="C143" s="156"/>
      <c r="D143" s="156"/>
      <c r="E143" s="156"/>
      <c r="G143" s="156"/>
      <c r="H143" s="156"/>
      <c r="I143" s="156"/>
      <c r="J143" s="156"/>
    </row>
    <row r="144" spans="3:10" ht="56.25" customHeight="1" x14ac:dyDescent="0.25">
      <c r="C144" s="156"/>
      <c r="D144" s="156"/>
      <c r="E144" s="156"/>
      <c r="G144" s="156"/>
      <c r="H144" s="156"/>
      <c r="I144" s="156"/>
      <c r="J144" s="156"/>
    </row>
    <row r="145" spans="3:10" ht="56.25" customHeight="1" x14ac:dyDescent="0.25">
      <c r="C145" s="156"/>
      <c r="D145" s="156"/>
      <c r="E145" s="156"/>
      <c r="G145" s="156"/>
      <c r="H145" s="156"/>
      <c r="I145" s="156"/>
      <c r="J145" s="156"/>
    </row>
    <row r="146" spans="3:10" ht="56.25" customHeight="1" x14ac:dyDescent="0.25">
      <c r="C146" s="156"/>
      <c r="D146" s="156"/>
      <c r="E146" s="156"/>
      <c r="G146" s="156"/>
      <c r="H146" s="156"/>
      <c r="I146" s="156"/>
      <c r="J146" s="156"/>
    </row>
    <row r="147" spans="3:10" ht="56.25" customHeight="1" x14ac:dyDescent="0.25">
      <c r="C147" s="156"/>
      <c r="D147" s="156"/>
      <c r="E147" s="156"/>
      <c r="G147" s="156"/>
      <c r="H147" s="156"/>
      <c r="I147" s="156"/>
      <c r="J147" s="156"/>
    </row>
    <row r="148" spans="3:10" ht="56.25" customHeight="1" x14ac:dyDescent="0.25">
      <c r="C148" s="156"/>
      <c r="D148" s="156"/>
      <c r="E148" s="156"/>
      <c r="G148" s="156"/>
      <c r="H148" s="156"/>
      <c r="I148" s="156"/>
      <c r="J148" s="156"/>
    </row>
    <row r="149" spans="3:10" ht="56.25" customHeight="1" x14ac:dyDescent="0.25">
      <c r="C149" s="156"/>
      <c r="D149" s="156"/>
      <c r="E149" s="156"/>
      <c r="G149" s="156"/>
      <c r="H149" s="156"/>
      <c r="I149" s="156"/>
      <c r="J149" s="156"/>
    </row>
    <row r="150" spans="3:10" ht="56.25" customHeight="1" x14ac:dyDescent="0.25">
      <c r="C150" s="156"/>
      <c r="D150" s="156"/>
      <c r="E150" s="156"/>
      <c r="G150" s="156"/>
      <c r="H150" s="156"/>
      <c r="I150" s="156"/>
      <c r="J150" s="156"/>
    </row>
    <row r="151" spans="3:10" ht="56.25" customHeight="1" x14ac:dyDescent="0.25">
      <c r="C151" s="156"/>
      <c r="D151" s="156"/>
      <c r="E151" s="156"/>
      <c r="G151" s="156"/>
      <c r="H151" s="156"/>
      <c r="I151" s="156"/>
      <c r="J151" s="156"/>
    </row>
    <row r="152" spans="3:10" ht="56.25" customHeight="1" x14ac:dyDescent="0.25">
      <c r="C152" s="156"/>
      <c r="D152" s="156"/>
      <c r="E152" s="156"/>
      <c r="G152" s="156"/>
      <c r="H152" s="156"/>
      <c r="I152" s="156"/>
      <c r="J152" s="156"/>
    </row>
    <row r="153" spans="3:10" ht="56.25" customHeight="1" x14ac:dyDescent="0.25">
      <c r="C153" s="156"/>
      <c r="D153" s="156"/>
      <c r="E153" s="156"/>
      <c r="G153" s="156"/>
      <c r="H153" s="156"/>
      <c r="I153" s="156"/>
      <c r="J153" s="156"/>
    </row>
    <row r="154" spans="3:10" ht="56.25" customHeight="1" x14ac:dyDescent="0.25">
      <c r="C154" s="156"/>
      <c r="D154" s="156"/>
      <c r="E154" s="156"/>
      <c r="G154" s="156"/>
      <c r="H154" s="156"/>
      <c r="I154" s="156"/>
      <c r="J154" s="156"/>
    </row>
    <row r="155" spans="3:10" ht="56.25" customHeight="1" x14ac:dyDescent="0.25">
      <c r="C155" s="156"/>
      <c r="D155" s="156"/>
      <c r="E155" s="156"/>
      <c r="G155" s="156"/>
      <c r="H155" s="156"/>
      <c r="I155" s="156"/>
      <c r="J155" s="156"/>
    </row>
    <row r="156" spans="3:10" ht="56.25" customHeight="1" x14ac:dyDescent="0.25">
      <c r="C156" s="156"/>
      <c r="D156" s="156"/>
      <c r="E156" s="156"/>
      <c r="G156" s="156"/>
      <c r="H156" s="156"/>
      <c r="I156" s="156"/>
      <c r="J156" s="156"/>
    </row>
    <row r="157" spans="3:10" ht="56.25" customHeight="1" x14ac:dyDescent="0.25">
      <c r="C157" s="156"/>
      <c r="D157" s="156"/>
      <c r="E157" s="156"/>
      <c r="G157" s="156"/>
      <c r="H157" s="156"/>
      <c r="I157" s="156"/>
      <c r="J157" s="156"/>
    </row>
    <row r="158" spans="3:10" ht="56.25" customHeight="1" x14ac:dyDescent="0.25">
      <c r="C158" s="156"/>
      <c r="D158" s="156"/>
      <c r="E158" s="156"/>
      <c r="G158" s="156"/>
      <c r="H158" s="156"/>
      <c r="I158" s="156"/>
      <c r="J158" s="156"/>
    </row>
    <row r="159" spans="3:10" ht="56.25" customHeight="1" x14ac:dyDescent="0.25">
      <c r="C159" s="156"/>
      <c r="D159" s="156"/>
      <c r="E159" s="156"/>
      <c r="G159" s="156"/>
      <c r="H159" s="156"/>
      <c r="I159" s="156"/>
      <c r="J159" s="156"/>
    </row>
    <row r="160" spans="3:10" ht="56.25" customHeight="1" x14ac:dyDescent="0.25">
      <c r="C160" s="156"/>
      <c r="D160" s="156"/>
      <c r="E160" s="156"/>
      <c r="G160" s="156"/>
      <c r="H160" s="156"/>
      <c r="I160" s="156"/>
      <c r="J160" s="156"/>
    </row>
    <row r="161" spans="3:10" ht="56.25" customHeight="1" x14ac:dyDescent="0.25">
      <c r="C161" s="156"/>
      <c r="D161" s="156"/>
      <c r="E161" s="156"/>
      <c r="G161" s="156"/>
      <c r="H161" s="156"/>
      <c r="I161" s="156"/>
      <c r="J161" s="156"/>
    </row>
    <row r="162" spans="3:10" ht="56.25" customHeight="1" x14ac:dyDescent="0.25">
      <c r="C162" s="156"/>
      <c r="D162" s="156"/>
      <c r="E162" s="156"/>
      <c r="G162" s="156"/>
      <c r="H162" s="156"/>
      <c r="I162" s="156"/>
      <c r="J162" s="156"/>
    </row>
    <row r="163" spans="3:10" ht="56.25" customHeight="1" x14ac:dyDescent="0.25">
      <c r="C163" s="156"/>
      <c r="D163" s="156"/>
      <c r="E163" s="156"/>
      <c r="G163" s="156"/>
      <c r="H163" s="156"/>
      <c r="I163" s="156"/>
      <c r="J163" s="156"/>
    </row>
    <row r="164" spans="3:10" ht="56.25" customHeight="1" x14ac:dyDescent="0.25">
      <c r="C164" s="156"/>
      <c r="D164" s="156"/>
      <c r="E164" s="156"/>
      <c r="G164" s="156"/>
      <c r="H164" s="156"/>
      <c r="I164" s="156"/>
      <c r="J164" s="156"/>
    </row>
    <row r="165" spans="3:10" ht="56.25" customHeight="1" x14ac:dyDescent="0.25">
      <c r="C165" s="156"/>
      <c r="D165" s="156"/>
      <c r="E165" s="156"/>
      <c r="G165" s="156"/>
      <c r="H165" s="156"/>
      <c r="I165" s="156"/>
      <c r="J165" s="156"/>
    </row>
    <row r="166" spans="3:10" ht="56.25" customHeight="1" x14ac:dyDescent="0.25">
      <c r="C166" s="156"/>
      <c r="D166" s="156"/>
      <c r="E166" s="156"/>
      <c r="G166" s="156"/>
      <c r="H166" s="156"/>
      <c r="I166" s="156"/>
      <c r="J166" s="156"/>
    </row>
    <row r="167" spans="3:10" ht="56.25" customHeight="1" x14ac:dyDescent="0.25">
      <c r="C167" s="156"/>
      <c r="D167" s="156"/>
      <c r="E167" s="156"/>
      <c r="G167" s="156"/>
      <c r="H167" s="156"/>
      <c r="I167" s="156"/>
      <c r="J167" s="156"/>
    </row>
    <row r="168" spans="3:10" ht="56.25" customHeight="1" x14ac:dyDescent="0.25">
      <c r="C168" s="156"/>
      <c r="D168" s="156"/>
      <c r="E168" s="156"/>
      <c r="G168" s="156"/>
      <c r="H168" s="156"/>
      <c r="I168" s="156"/>
      <c r="J168" s="156"/>
    </row>
    <row r="169" spans="3:10" ht="56.25" customHeight="1" x14ac:dyDescent="0.25">
      <c r="C169" s="156"/>
      <c r="D169" s="156"/>
      <c r="E169" s="156"/>
      <c r="G169" s="156"/>
      <c r="H169" s="156"/>
      <c r="I169" s="156"/>
      <c r="J169" s="156"/>
    </row>
    <row r="170" spans="3:10" ht="56.25" customHeight="1" x14ac:dyDescent="0.25">
      <c r="C170" s="156"/>
      <c r="D170" s="156"/>
      <c r="E170" s="156"/>
      <c r="G170" s="156"/>
      <c r="H170" s="156"/>
      <c r="I170" s="156"/>
      <c r="J170" s="156"/>
    </row>
    <row r="171" spans="3:10" ht="56.25" customHeight="1" x14ac:dyDescent="0.25">
      <c r="C171" s="156"/>
      <c r="D171" s="156"/>
      <c r="E171" s="156"/>
      <c r="G171" s="156"/>
      <c r="H171" s="156"/>
      <c r="I171" s="156"/>
      <c r="J171" s="156"/>
    </row>
    <row r="172" spans="3:10" ht="56.25" customHeight="1" x14ac:dyDescent="0.25">
      <c r="C172" s="156"/>
      <c r="D172" s="156"/>
      <c r="E172" s="156"/>
      <c r="G172" s="156"/>
      <c r="H172" s="156"/>
      <c r="I172" s="156"/>
      <c r="J172" s="156"/>
    </row>
    <row r="173" spans="3:10" ht="56.25" customHeight="1" x14ac:dyDescent="0.25">
      <c r="C173" s="156"/>
      <c r="D173" s="156"/>
      <c r="E173" s="156"/>
      <c r="G173" s="156"/>
      <c r="H173" s="156"/>
      <c r="I173" s="156"/>
      <c r="J173" s="156"/>
    </row>
    <row r="174" spans="3:10" ht="56.25" customHeight="1" x14ac:dyDescent="0.25">
      <c r="C174" s="156"/>
      <c r="D174" s="156"/>
      <c r="E174" s="156"/>
      <c r="G174" s="156"/>
      <c r="H174" s="156"/>
      <c r="I174" s="156"/>
      <c r="J174" s="156"/>
    </row>
    <row r="175" spans="3:10" ht="56.25" customHeight="1" x14ac:dyDescent="0.25">
      <c r="C175" s="156"/>
      <c r="D175" s="156"/>
      <c r="E175" s="156"/>
      <c r="G175" s="156"/>
      <c r="H175" s="156"/>
      <c r="I175" s="156"/>
      <c r="J175" s="156"/>
    </row>
    <row r="176" spans="3:10" ht="56.25" customHeight="1" x14ac:dyDescent="0.25">
      <c r="C176" s="156"/>
      <c r="D176" s="156"/>
      <c r="E176" s="156"/>
      <c r="G176" s="156"/>
      <c r="H176" s="156"/>
      <c r="I176" s="156"/>
      <c r="J176" s="156"/>
    </row>
    <row r="177" spans="3:10" ht="56.25" customHeight="1" x14ac:dyDescent="0.25">
      <c r="C177" s="156"/>
      <c r="D177" s="156"/>
      <c r="E177" s="156"/>
      <c r="G177" s="156"/>
      <c r="H177" s="156"/>
      <c r="I177" s="156"/>
      <c r="J177" s="156"/>
    </row>
    <row r="178" spans="3:10" ht="56.25" customHeight="1" x14ac:dyDescent="0.25">
      <c r="C178" s="156"/>
      <c r="D178" s="156"/>
      <c r="E178" s="156"/>
      <c r="G178" s="156"/>
      <c r="H178" s="156"/>
      <c r="I178" s="156"/>
      <c r="J178" s="156"/>
    </row>
    <row r="179" spans="3:10" ht="56.25" customHeight="1" x14ac:dyDescent="0.25">
      <c r="C179" s="156"/>
      <c r="D179" s="156"/>
      <c r="E179" s="156"/>
      <c r="G179" s="156"/>
      <c r="H179" s="156"/>
      <c r="I179" s="156"/>
      <c r="J179" s="156"/>
    </row>
    <row r="180" spans="3:10" ht="56.25" customHeight="1" x14ac:dyDescent="0.25">
      <c r="C180" s="156"/>
      <c r="D180" s="156"/>
      <c r="E180" s="156"/>
      <c r="G180" s="156"/>
      <c r="H180" s="156"/>
      <c r="I180" s="156"/>
      <c r="J180" s="156"/>
    </row>
    <row r="181" spans="3:10" ht="56.25" customHeight="1" x14ac:dyDescent="0.25">
      <c r="C181" s="156"/>
      <c r="D181" s="156"/>
      <c r="E181" s="156"/>
      <c r="G181" s="156"/>
      <c r="H181" s="156"/>
      <c r="I181" s="156"/>
      <c r="J181" s="156"/>
    </row>
    <row r="182" spans="3:10" ht="56.25" customHeight="1" x14ac:dyDescent="0.25">
      <c r="C182" s="156"/>
      <c r="D182" s="156"/>
      <c r="E182" s="156"/>
      <c r="G182" s="156"/>
      <c r="H182" s="156"/>
      <c r="I182" s="156"/>
      <c r="J182" s="156"/>
    </row>
    <row r="183" spans="3:10" ht="56.25" customHeight="1" x14ac:dyDescent="0.25">
      <c r="C183" s="156"/>
      <c r="D183" s="156"/>
      <c r="E183" s="156"/>
      <c r="G183" s="156"/>
      <c r="H183" s="156"/>
      <c r="I183" s="156"/>
      <c r="J183" s="156"/>
    </row>
    <row r="184" spans="3:10" ht="56.25" customHeight="1" x14ac:dyDescent="0.25">
      <c r="C184" s="156"/>
      <c r="D184" s="156"/>
      <c r="E184" s="156"/>
      <c r="G184" s="156"/>
      <c r="H184" s="156"/>
      <c r="I184" s="156"/>
      <c r="J184" s="156"/>
    </row>
    <row r="185" spans="3:10" ht="56.25" customHeight="1" x14ac:dyDescent="0.25">
      <c r="C185" s="156"/>
      <c r="D185" s="156"/>
      <c r="E185" s="156"/>
      <c r="G185" s="156"/>
      <c r="H185" s="156"/>
      <c r="I185" s="156"/>
      <c r="J185" s="156"/>
    </row>
    <row r="186" spans="3:10" ht="56.25" customHeight="1" x14ac:dyDescent="0.25">
      <c r="C186" s="156"/>
      <c r="D186" s="156"/>
      <c r="E186" s="156"/>
      <c r="G186" s="156"/>
      <c r="H186" s="156"/>
      <c r="I186" s="156"/>
      <c r="J186" s="156"/>
    </row>
    <row r="187" spans="3:10" ht="56.25" customHeight="1" x14ac:dyDescent="0.25">
      <c r="C187" s="156"/>
      <c r="D187" s="156"/>
      <c r="E187" s="156"/>
      <c r="G187" s="156"/>
      <c r="H187" s="156"/>
      <c r="I187" s="156"/>
      <c r="J187" s="156"/>
    </row>
    <row r="188" spans="3:10" ht="56.25" customHeight="1" x14ac:dyDescent="0.25">
      <c r="C188" s="156"/>
      <c r="D188" s="156"/>
      <c r="E188" s="156"/>
      <c r="G188" s="156"/>
      <c r="H188" s="156"/>
      <c r="I188" s="156"/>
      <c r="J188" s="156"/>
    </row>
    <row r="189" spans="3:10" ht="56.25" customHeight="1" x14ac:dyDescent="0.25">
      <c r="C189" s="156"/>
      <c r="D189" s="156"/>
      <c r="E189" s="156"/>
      <c r="G189" s="156"/>
      <c r="H189" s="156"/>
      <c r="I189" s="156"/>
      <c r="J189" s="156"/>
    </row>
    <row r="190" spans="3:10" ht="56.25" customHeight="1" x14ac:dyDescent="0.25">
      <c r="C190" s="156"/>
      <c r="D190" s="156"/>
      <c r="E190" s="156"/>
      <c r="G190" s="156"/>
      <c r="H190" s="156"/>
      <c r="I190" s="156"/>
      <c r="J190" s="156"/>
    </row>
    <row r="191" spans="3:10" ht="56.25" customHeight="1" x14ac:dyDescent="0.25">
      <c r="C191" s="156"/>
      <c r="D191" s="156"/>
      <c r="E191" s="156"/>
      <c r="G191" s="156"/>
      <c r="H191" s="156"/>
      <c r="I191" s="156"/>
      <c r="J191" s="156"/>
    </row>
    <row r="192" spans="3:10" ht="56.25" customHeight="1" x14ac:dyDescent="0.25">
      <c r="C192" s="156"/>
      <c r="D192" s="156"/>
      <c r="E192" s="156"/>
      <c r="G192" s="156"/>
      <c r="H192" s="156"/>
      <c r="I192" s="156"/>
      <c r="J192" s="156"/>
    </row>
    <row r="193" spans="3:10" ht="56.25" customHeight="1" x14ac:dyDescent="0.25">
      <c r="C193" s="156"/>
      <c r="D193" s="156"/>
      <c r="E193" s="156"/>
      <c r="G193" s="156"/>
      <c r="H193" s="156"/>
      <c r="I193" s="156"/>
      <c r="J193" s="156"/>
    </row>
    <row r="194" spans="3:10" ht="56.25" customHeight="1" x14ac:dyDescent="0.25">
      <c r="C194" s="156"/>
      <c r="D194" s="156"/>
      <c r="E194" s="156"/>
      <c r="G194" s="156"/>
      <c r="H194" s="156"/>
      <c r="I194" s="156"/>
      <c r="J194" s="156"/>
    </row>
    <row r="195" spans="3:10" ht="56.25" customHeight="1" x14ac:dyDescent="0.25">
      <c r="C195" s="156"/>
      <c r="D195" s="156"/>
      <c r="E195" s="156"/>
      <c r="G195" s="156"/>
      <c r="H195" s="156"/>
      <c r="I195" s="156"/>
      <c r="J195" s="156"/>
    </row>
    <row r="196" spans="3:10" ht="56.25" customHeight="1" x14ac:dyDescent="0.25">
      <c r="C196" s="156"/>
      <c r="D196" s="156"/>
      <c r="E196" s="156"/>
      <c r="G196" s="156"/>
      <c r="H196" s="156"/>
      <c r="I196" s="156"/>
      <c r="J196" s="156"/>
    </row>
    <row r="197" spans="3:10" ht="56.25" customHeight="1" x14ac:dyDescent="0.25">
      <c r="C197" s="156"/>
      <c r="D197" s="156"/>
      <c r="E197" s="156"/>
      <c r="G197" s="156"/>
      <c r="H197" s="156"/>
      <c r="I197" s="156"/>
      <c r="J197" s="156"/>
    </row>
    <row r="198" spans="3:10" ht="56.25" customHeight="1" x14ac:dyDescent="0.25">
      <c r="C198" s="156"/>
      <c r="D198" s="156"/>
      <c r="E198" s="156"/>
      <c r="G198" s="156"/>
      <c r="H198" s="156"/>
      <c r="I198" s="156"/>
      <c r="J198" s="156"/>
    </row>
    <row r="199" spans="3:10" ht="56.25" customHeight="1" x14ac:dyDescent="0.25">
      <c r="C199" s="156"/>
      <c r="D199" s="156"/>
      <c r="E199" s="156"/>
      <c r="G199" s="156"/>
      <c r="H199" s="156"/>
      <c r="I199" s="156"/>
      <c r="J199" s="156"/>
    </row>
    <row r="200" spans="3:10" ht="56.25" customHeight="1" x14ac:dyDescent="0.25">
      <c r="C200" s="156"/>
      <c r="D200" s="156"/>
      <c r="E200" s="156"/>
      <c r="G200" s="156"/>
      <c r="H200" s="156"/>
      <c r="I200" s="156"/>
      <c r="J200" s="156"/>
    </row>
    <row r="201" spans="3:10" ht="56.25" customHeight="1" x14ac:dyDescent="0.25">
      <c r="C201" s="156"/>
      <c r="D201" s="156"/>
      <c r="E201" s="156"/>
      <c r="G201" s="156"/>
      <c r="H201" s="156"/>
      <c r="I201" s="156"/>
      <c r="J201" s="156"/>
    </row>
    <row r="202" spans="3:10" ht="56.25" customHeight="1" x14ac:dyDescent="0.25">
      <c r="C202" s="156"/>
      <c r="D202" s="156"/>
      <c r="E202" s="156"/>
      <c r="G202" s="156"/>
      <c r="H202" s="156"/>
      <c r="I202" s="156"/>
      <c r="J202" s="156"/>
    </row>
    <row r="203" spans="3:10" ht="56.25" customHeight="1" x14ac:dyDescent="0.25">
      <c r="C203" s="156"/>
      <c r="D203" s="156"/>
      <c r="E203" s="156"/>
      <c r="G203" s="156"/>
      <c r="H203" s="156"/>
      <c r="I203" s="156"/>
      <c r="J203" s="156"/>
    </row>
    <row r="204" spans="3:10" ht="56.25" customHeight="1" x14ac:dyDescent="0.25">
      <c r="C204" s="156"/>
      <c r="D204" s="156"/>
      <c r="E204" s="156"/>
      <c r="G204" s="156"/>
      <c r="H204" s="156"/>
      <c r="I204" s="156"/>
      <c r="J204" s="156"/>
    </row>
    <row r="205" spans="3:10" ht="56.25" customHeight="1" x14ac:dyDescent="0.25">
      <c r="C205" s="156"/>
      <c r="D205" s="156"/>
      <c r="E205" s="156"/>
      <c r="G205" s="156"/>
      <c r="H205" s="156"/>
      <c r="I205" s="156"/>
      <c r="J205" s="156"/>
    </row>
    <row r="206" spans="3:10" ht="56.25" customHeight="1" x14ac:dyDescent="0.25">
      <c r="C206" s="156"/>
      <c r="D206" s="156"/>
      <c r="E206" s="156"/>
      <c r="G206" s="156"/>
      <c r="H206" s="156"/>
      <c r="I206" s="156"/>
      <c r="J206" s="156"/>
    </row>
    <row r="207" spans="3:10" ht="56.25" customHeight="1" x14ac:dyDescent="0.25">
      <c r="C207" s="156"/>
      <c r="D207" s="156"/>
      <c r="E207" s="156"/>
      <c r="G207" s="156"/>
      <c r="H207" s="156"/>
      <c r="I207" s="156"/>
      <c r="J207" s="156"/>
    </row>
    <row r="208" spans="3:10" ht="56.25" customHeight="1" x14ac:dyDescent="0.25">
      <c r="C208" s="156"/>
      <c r="D208" s="156"/>
      <c r="E208" s="156"/>
      <c r="G208" s="156"/>
      <c r="H208" s="156"/>
      <c r="I208" s="156"/>
      <c r="J208" s="156"/>
    </row>
    <row r="209" spans="3:10" ht="56.25" customHeight="1" x14ac:dyDescent="0.25">
      <c r="C209" s="156"/>
      <c r="D209" s="156"/>
      <c r="E209" s="156"/>
      <c r="G209" s="156"/>
      <c r="H209" s="156"/>
      <c r="I209" s="156"/>
      <c r="J209" s="156"/>
    </row>
    <row r="210" spans="3:10" ht="56.25" customHeight="1" x14ac:dyDescent="0.25">
      <c r="C210" s="156"/>
      <c r="D210" s="156"/>
      <c r="E210" s="156"/>
      <c r="G210" s="156"/>
      <c r="H210" s="156"/>
      <c r="I210" s="156"/>
      <c r="J210" s="156"/>
    </row>
    <row r="211" spans="3:10" ht="56.25" customHeight="1" x14ac:dyDescent="0.25">
      <c r="C211" s="156"/>
      <c r="D211" s="156"/>
      <c r="E211" s="156"/>
      <c r="G211" s="156"/>
      <c r="H211" s="156"/>
      <c r="I211" s="156"/>
      <c r="J211" s="156"/>
    </row>
    <row r="212" spans="3:10" ht="56.25" customHeight="1" x14ac:dyDescent="0.25">
      <c r="C212" s="156"/>
      <c r="D212" s="156"/>
      <c r="E212" s="156"/>
      <c r="G212" s="156"/>
      <c r="H212" s="156"/>
      <c r="I212" s="156"/>
      <c r="J212" s="156"/>
    </row>
    <row r="213" spans="3:10" ht="56.25" customHeight="1" x14ac:dyDescent="0.25">
      <c r="C213" s="156"/>
      <c r="D213" s="156"/>
      <c r="E213" s="156"/>
      <c r="G213" s="156"/>
      <c r="H213" s="156"/>
      <c r="I213" s="156"/>
      <c r="J213" s="156"/>
    </row>
    <row r="214" spans="3:10" ht="56.25" customHeight="1" x14ac:dyDescent="0.25">
      <c r="C214" s="156"/>
      <c r="D214" s="156"/>
      <c r="E214" s="156"/>
      <c r="G214" s="156"/>
      <c r="H214" s="156"/>
      <c r="I214" s="156"/>
      <c r="J214" s="156"/>
    </row>
    <row r="215" spans="3:10" ht="56.25" customHeight="1" x14ac:dyDescent="0.25">
      <c r="C215" s="156"/>
      <c r="D215" s="156"/>
      <c r="E215" s="156"/>
      <c r="G215" s="156"/>
      <c r="H215" s="156"/>
      <c r="I215" s="156"/>
      <c r="J215" s="156"/>
    </row>
    <row r="216" spans="3:10" ht="56.25" customHeight="1" x14ac:dyDescent="0.25">
      <c r="C216" s="156"/>
      <c r="D216" s="156"/>
      <c r="E216" s="156"/>
      <c r="G216" s="156"/>
      <c r="H216" s="156"/>
      <c r="I216" s="156"/>
      <c r="J216" s="156"/>
    </row>
    <row r="217" spans="3:10" ht="56.25" customHeight="1" x14ac:dyDescent="0.25">
      <c r="C217" s="156"/>
      <c r="D217" s="156"/>
      <c r="E217" s="156"/>
      <c r="G217" s="156"/>
      <c r="H217" s="156"/>
      <c r="I217" s="156"/>
      <c r="J217" s="156"/>
    </row>
    <row r="218" spans="3:10" ht="56.25" customHeight="1" x14ac:dyDescent="0.25">
      <c r="C218" s="156"/>
      <c r="D218" s="156"/>
      <c r="E218" s="156"/>
      <c r="G218" s="156"/>
      <c r="H218" s="156"/>
      <c r="I218" s="156"/>
      <c r="J218" s="156"/>
    </row>
    <row r="219" spans="3:10" ht="56.25" customHeight="1" x14ac:dyDescent="0.25">
      <c r="C219" s="156"/>
      <c r="D219" s="156"/>
      <c r="E219" s="156"/>
      <c r="G219" s="156"/>
      <c r="H219" s="156"/>
      <c r="I219" s="156"/>
      <c r="J219" s="156"/>
    </row>
    <row r="220" spans="3:10" ht="56.25" customHeight="1" x14ac:dyDescent="0.25">
      <c r="C220" s="156"/>
      <c r="D220" s="156"/>
      <c r="E220" s="156"/>
      <c r="G220" s="156"/>
      <c r="H220" s="156"/>
      <c r="I220" s="156"/>
      <c r="J220" s="156"/>
    </row>
    <row r="221" spans="3:10" ht="56.25" customHeight="1" x14ac:dyDescent="0.25">
      <c r="C221" s="156"/>
      <c r="D221" s="156"/>
      <c r="E221" s="156"/>
      <c r="G221" s="156"/>
      <c r="H221" s="156"/>
      <c r="I221" s="156"/>
      <c r="J221" s="156"/>
    </row>
    <row r="222" spans="3:10" ht="56.25" customHeight="1" x14ac:dyDescent="0.25">
      <c r="C222" s="156"/>
      <c r="D222" s="156"/>
      <c r="E222" s="156"/>
      <c r="G222" s="156"/>
      <c r="H222" s="156"/>
      <c r="I222" s="156"/>
      <c r="J222" s="156"/>
    </row>
    <row r="223" spans="3:10" ht="56.25" customHeight="1" x14ac:dyDescent="0.25">
      <c r="C223" s="156"/>
      <c r="D223" s="156"/>
      <c r="E223" s="156"/>
      <c r="G223" s="156"/>
      <c r="H223" s="156"/>
      <c r="I223" s="156"/>
      <c r="J223" s="156"/>
    </row>
    <row r="224" spans="3:10" ht="56.25" customHeight="1" x14ac:dyDescent="0.25">
      <c r="C224" s="156"/>
      <c r="D224" s="156"/>
      <c r="E224" s="156"/>
      <c r="G224" s="156"/>
      <c r="H224" s="156"/>
      <c r="I224" s="156"/>
      <c r="J224" s="156"/>
    </row>
    <row r="225" spans="3:10" ht="56.25" customHeight="1" x14ac:dyDescent="0.25">
      <c r="C225" s="156"/>
      <c r="D225" s="156"/>
      <c r="E225" s="156"/>
      <c r="G225" s="156"/>
      <c r="H225" s="156"/>
      <c r="I225" s="156"/>
      <c r="J225" s="156"/>
    </row>
    <row r="226" spans="3:10" ht="56.25" customHeight="1" x14ac:dyDescent="0.25">
      <c r="C226" s="156"/>
      <c r="D226" s="156"/>
      <c r="E226" s="156"/>
      <c r="G226" s="156"/>
      <c r="H226" s="156"/>
      <c r="I226" s="156"/>
      <c r="J226" s="156"/>
    </row>
    <row r="227" spans="3:10" ht="56.25" customHeight="1" x14ac:dyDescent="0.25">
      <c r="C227" s="156"/>
      <c r="D227" s="156"/>
      <c r="E227" s="156"/>
      <c r="G227" s="156"/>
      <c r="H227" s="156"/>
      <c r="I227" s="156"/>
      <c r="J227" s="156"/>
    </row>
    <row r="228" spans="3:10" ht="56.25" customHeight="1" x14ac:dyDescent="0.25">
      <c r="C228" s="156"/>
      <c r="D228" s="156"/>
      <c r="E228" s="156"/>
      <c r="G228" s="156"/>
      <c r="H228" s="156"/>
      <c r="I228" s="156"/>
      <c r="J228" s="156"/>
    </row>
    <row r="229" spans="3:10" ht="56.25" customHeight="1" x14ac:dyDescent="0.25">
      <c r="C229" s="156"/>
      <c r="D229" s="156"/>
      <c r="E229" s="156"/>
      <c r="G229" s="156"/>
      <c r="H229" s="156"/>
      <c r="I229" s="156"/>
      <c r="J229" s="156"/>
    </row>
    <row r="230" spans="3:10" ht="56.25" customHeight="1" x14ac:dyDescent="0.25">
      <c r="C230" s="156"/>
      <c r="D230" s="156"/>
      <c r="E230" s="156"/>
      <c r="G230" s="156"/>
      <c r="H230" s="156"/>
      <c r="I230" s="156"/>
      <c r="J230" s="156"/>
    </row>
    <row r="231" spans="3:10" ht="56.25" customHeight="1" x14ac:dyDescent="0.25">
      <c r="C231" s="156"/>
      <c r="D231" s="156"/>
      <c r="E231" s="156"/>
      <c r="G231" s="156"/>
      <c r="H231" s="156"/>
      <c r="I231" s="156"/>
      <c r="J231" s="156"/>
    </row>
    <row r="232" spans="3:10" ht="56.25" customHeight="1" x14ac:dyDescent="0.25">
      <c r="C232" s="156"/>
      <c r="D232" s="156"/>
      <c r="E232" s="156"/>
      <c r="G232" s="156"/>
      <c r="H232" s="156"/>
      <c r="I232" s="156"/>
      <c r="J232" s="156"/>
    </row>
    <row r="233" spans="3:10" ht="56.25" customHeight="1" x14ac:dyDescent="0.25">
      <c r="C233" s="156"/>
      <c r="D233" s="156"/>
      <c r="E233" s="156"/>
      <c r="G233" s="156"/>
      <c r="H233" s="156"/>
      <c r="I233" s="156"/>
      <c r="J233" s="156"/>
    </row>
    <row r="234" spans="3:10" ht="56.25" customHeight="1" x14ac:dyDescent="0.25">
      <c r="C234" s="156"/>
      <c r="D234" s="156"/>
      <c r="E234" s="156"/>
      <c r="G234" s="156"/>
      <c r="H234" s="156"/>
      <c r="I234" s="156"/>
      <c r="J234" s="156"/>
    </row>
    <row r="235" spans="3:10" ht="56.25" customHeight="1" x14ac:dyDescent="0.25">
      <c r="C235" s="156"/>
      <c r="D235" s="156"/>
      <c r="E235" s="156"/>
      <c r="G235" s="156"/>
      <c r="H235" s="156"/>
      <c r="I235" s="156"/>
      <c r="J235" s="156"/>
    </row>
    <row r="236" spans="3:10" ht="56.25" customHeight="1" x14ac:dyDescent="0.25">
      <c r="C236" s="156"/>
      <c r="D236" s="156"/>
      <c r="E236" s="156"/>
      <c r="G236" s="156"/>
      <c r="H236" s="156"/>
      <c r="I236" s="156"/>
      <c r="J236" s="156"/>
    </row>
    <row r="237" spans="3:10" ht="56.25" customHeight="1" x14ac:dyDescent="0.25">
      <c r="C237" s="156"/>
      <c r="D237" s="156"/>
      <c r="E237" s="156"/>
      <c r="G237" s="156"/>
      <c r="H237" s="156"/>
      <c r="I237" s="156"/>
      <c r="J237" s="156"/>
    </row>
    <row r="238" spans="3:10" ht="56.25" customHeight="1" x14ac:dyDescent="0.25">
      <c r="C238" s="156"/>
      <c r="D238" s="156"/>
      <c r="E238" s="156"/>
      <c r="G238" s="156"/>
      <c r="H238" s="156"/>
      <c r="I238" s="156"/>
      <c r="J238" s="156"/>
    </row>
    <row r="239" spans="3:10" ht="56.25" customHeight="1" x14ac:dyDescent="0.25">
      <c r="C239" s="156"/>
      <c r="D239" s="156"/>
      <c r="E239" s="156"/>
      <c r="G239" s="156"/>
      <c r="H239" s="156"/>
      <c r="I239" s="156"/>
      <c r="J239" s="156"/>
    </row>
    <row r="240" spans="3:10" ht="56.25" customHeight="1" x14ac:dyDescent="0.25">
      <c r="C240" s="156"/>
      <c r="D240" s="156"/>
      <c r="E240" s="156"/>
      <c r="G240" s="156"/>
      <c r="H240" s="156"/>
      <c r="I240" s="156"/>
      <c r="J240" s="156"/>
    </row>
    <row r="241" spans="3:10" ht="56.25" customHeight="1" x14ac:dyDescent="0.25">
      <c r="C241" s="156"/>
      <c r="D241" s="156"/>
      <c r="E241" s="156"/>
      <c r="G241" s="156"/>
      <c r="H241" s="156"/>
      <c r="I241" s="156"/>
      <c r="J241" s="156"/>
    </row>
    <row r="242" spans="3:10" ht="56.25" customHeight="1" x14ac:dyDescent="0.25">
      <c r="C242" s="156"/>
      <c r="D242" s="156"/>
      <c r="E242" s="156"/>
      <c r="G242" s="156"/>
      <c r="H242" s="156"/>
      <c r="I242" s="156"/>
      <c r="J242" s="156"/>
    </row>
    <row r="243" spans="3:10" ht="56.25" customHeight="1" x14ac:dyDescent="0.25">
      <c r="C243" s="156"/>
      <c r="D243" s="156"/>
      <c r="E243" s="156"/>
      <c r="G243" s="156"/>
      <c r="H243" s="156"/>
      <c r="I243" s="156"/>
      <c r="J243" s="156"/>
    </row>
    <row r="244" spans="3:10" ht="56.25" customHeight="1" x14ac:dyDescent="0.25">
      <c r="C244" s="156"/>
      <c r="D244" s="156"/>
      <c r="E244" s="156"/>
      <c r="G244" s="156"/>
      <c r="H244" s="156"/>
      <c r="I244" s="156"/>
      <c r="J244" s="156"/>
    </row>
    <row r="245" spans="3:10" ht="56.25" customHeight="1" x14ac:dyDescent="0.25">
      <c r="C245" s="156"/>
      <c r="D245" s="156"/>
      <c r="E245" s="156"/>
      <c r="G245" s="156"/>
      <c r="H245" s="156"/>
      <c r="I245" s="156"/>
      <c r="J245" s="156"/>
    </row>
    <row r="246" spans="3:10" ht="56.25" customHeight="1" x14ac:dyDescent="0.25">
      <c r="C246" s="156"/>
      <c r="D246" s="156"/>
      <c r="E246" s="156"/>
      <c r="G246" s="156"/>
      <c r="H246" s="156"/>
      <c r="I246" s="156"/>
      <c r="J246" s="156"/>
    </row>
    <row r="247" spans="3:10" ht="56.25" customHeight="1" x14ac:dyDescent="0.25">
      <c r="C247" s="156"/>
      <c r="D247" s="156"/>
      <c r="E247" s="156"/>
      <c r="G247" s="156"/>
      <c r="H247" s="156"/>
      <c r="I247" s="156"/>
      <c r="J247" s="156"/>
    </row>
    <row r="248" spans="3:10" ht="56.25" customHeight="1" x14ac:dyDescent="0.25">
      <c r="C248" s="156"/>
      <c r="D248" s="156"/>
      <c r="E248" s="156"/>
      <c r="G248" s="156"/>
      <c r="H248" s="156"/>
      <c r="I248" s="156"/>
      <c r="J248" s="156"/>
    </row>
    <row r="249" spans="3:10" ht="56.25" customHeight="1" x14ac:dyDescent="0.25">
      <c r="C249" s="156"/>
      <c r="D249" s="156"/>
      <c r="E249" s="156"/>
      <c r="G249" s="156"/>
      <c r="H249" s="156"/>
      <c r="I249" s="156"/>
      <c r="J249" s="156"/>
    </row>
    <row r="250" spans="3:10" ht="56.25" customHeight="1" x14ac:dyDescent="0.25">
      <c r="C250" s="156"/>
      <c r="D250" s="156"/>
      <c r="E250" s="156"/>
      <c r="G250" s="156"/>
      <c r="H250" s="156"/>
      <c r="I250" s="156"/>
      <c r="J250" s="156"/>
    </row>
    <row r="251" spans="3:10" ht="56.25" customHeight="1" x14ac:dyDescent="0.25"/>
    <row r="252" spans="3:10" ht="56.25" customHeight="1" x14ac:dyDescent="0.25"/>
    <row r="253" spans="3:10" ht="56.25" customHeight="1" x14ac:dyDescent="0.25"/>
    <row r="254" spans="3:10" ht="56.25" customHeight="1" x14ac:dyDescent="0.25"/>
    <row r="255" spans="3:10" ht="56.25" customHeight="1" x14ac:dyDescent="0.25"/>
    <row r="256" spans="3:10" ht="56.25" customHeight="1" x14ac:dyDescent="0.25"/>
    <row r="257" ht="56.25" customHeight="1" x14ac:dyDescent="0.25"/>
    <row r="258" ht="56.25" customHeight="1" x14ac:dyDescent="0.25"/>
    <row r="259" ht="56.25" customHeight="1" x14ac:dyDescent="0.25"/>
    <row r="260" ht="56.25" customHeight="1" x14ac:dyDescent="0.25"/>
    <row r="261" ht="56.25" customHeight="1" x14ac:dyDescent="0.25"/>
    <row r="262" ht="56.25" customHeight="1" x14ac:dyDescent="0.25"/>
    <row r="263" ht="56.25" customHeight="1" x14ac:dyDescent="0.25"/>
  </sheetData>
  <mergeCells count="8">
    <mergeCell ref="A27:O27"/>
    <mergeCell ref="A1:M1"/>
    <mergeCell ref="G5:N5"/>
    <mergeCell ref="G9:N9"/>
    <mergeCell ref="G10:N10"/>
    <mergeCell ref="G11:N11"/>
    <mergeCell ref="K3:M3"/>
    <mergeCell ref="K4:M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42"/>
  <sheetViews>
    <sheetView zoomScale="70" zoomScaleNormal="70" workbookViewId="0">
      <selection activeCell="M8" sqref="M8"/>
    </sheetView>
  </sheetViews>
  <sheetFormatPr defaultColWidth="13.42578125" defaultRowHeight="15" x14ac:dyDescent="0.25"/>
  <cols>
    <col min="1" max="1" width="3.85546875" style="156" bestFit="1" customWidth="1"/>
    <col min="2" max="2" width="19.7109375" style="156" customWidth="1"/>
    <col min="3" max="3" width="18.7109375" style="179" customWidth="1"/>
    <col min="4" max="4" width="23.42578125" style="179" bestFit="1" customWidth="1"/>
    <col min="5" max="5" width="30.140625" style="179" bestFit="1" customWidth="1"/>
    <col min="6" max="6" width="15.28515625" style="156" bestFit="1" customWidth="1"/>
    <col min="7" max="7" width="11.140625" style="180" bestFit="1" customWidth="1"/>
    <col min="8" max="8" width="14.28515625" style="181" bestFit="1" customWidth="1"/>
    <col min="9" max="9" width="12.140625" style="181" bestFit="1" customWidth="1"/>
    <col min="10" max="10" width="12.5703125" style="181" bestFit="1" customWidth="1"/>
    <col min="11" max="11" width="10.7109375" style="182" bestFit="1" customWidth="1"/>
    <col min="12" max="12" width="17.5703125" style="156" bestFit="1" customWidth="1"/>
    <col min="13" max="13" width="12" style="179" bestFit="1" customWidth="1"/>
    <col min="14" max="14" width="35" style="156" bestFit="1" customWidth="1"/>
    <col min="15" max="15" width="19" style="156" bestFit="1" customWidth="1"/>
    <col min="16" max="16384" width="13.42578125" style="156"/>
  </cols>
  <sheetData>
    <row r="1" spans="1:18" ht="20.25" x14ac:dyDescent="0.25">
      <c r="A1" s="339" t="s">
        <v>832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191" t="s">
        <v>824</v>
      </c>
      <c r="O1" s="192">
        <v>43389</v>
      </c>
    </row>
    <row r="2" spans="1:18" ht="47.25" x14ac:dyDescent="0.25">
      <c r="A2" s="157" t="s">
        <v>554</v>
      </c>
      <c r="B2" s="195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97" t="s">
        <v>833</v>
      </c>
      <c r="I2" s="198" t="s">
        <v>631</v>
      </c>
      <c r="J2" s="197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8" ht="60" customHeight="1" x14ac:dyDescent="0.25">
      <c r="A3" s="163">
        <v>1</v>
      </c>
      <c r="B3" s="163" t="s">
        <v>560</v>
      </c>
      <c r="C3" s="164" t="s">
        <v>540</v>
      </c>
      <c r="D3" s="164" t="s">
        <v>561</v>
      </c>
      <c r="E3" s="164" t="s">
        <v>668</v>
      </c>
      <c r="F3" s="165" t="s">
        <v>542</v>
      </c>
      <c r="G3" s="166">
        <v>3500</v>
      </c>
      <c r="H3" s="167">
        <v>5793.57</v>
      </c>
      <c r="I3" s="167">
        <f>759.57+197.5</f>
        <v>957.07</v>
      </c>
      <c r="J3" s="167">
        <f>MIN(H3+I3,G3)</f>
        <v>3500</v>
      </c>
      <c r="K3" s="336" t="s">
        <v>562</v>
      </c>
      <c r="L3" s="337"/>
      <c r="M3" s="338"/>
      <c r="N3" s="164" t="s">
        <v>834</v>
      </c>
      <c r="O3" s="168" t="s">
        <v>835</v>
      </c>
      <c r="Q3" s="181"/>
      <c r="R3" s="181"/>
    </row>
    <row r="4" spans="1:18" ht="60" customHeight="1" x14ac:dyDescent="0.25">
      <c r="A4" s="163">
        <v>2</v>
      </c>
      <c r="B4" s="163" t="s">
        <v>563</v>
      </c>
      <c r="C4" s="164" t="s">
        <v>540</v>
      </c>
      <c r="D4" s="164" t="s">
        <v>561</v>
      </c>
      <c r="E4" s="164" t="s">
        <v>670</v>
      </c>
      <c r="F4" s="165" t="s">
        <v>544</v>
      </c>
      <c r="G4" s="166">
        <v>18</v>
      </c>
      <c r="H4" s="167">
        <v>1666.04</v>
      </c>
      <c r="I4" s="167">
        <f>737.39+197.5</f>
        <v>934.89</v>
      </c>
      <c r="J4" s="167">
        <f>MIN(H4+I4,G4)</f>
        <v>18</v>
      </c>
      <c r="K4" s="336" t="s">
        <v>562</v>
      </c>
      <c r="L4" s="337"/>
      <c r="M4" s="338"/>
      <c r="N4" s="164" t="s">
        <v>834</v>
      </c>
      <c r="O4" s="168" t="s">
        <v>835</v>
      </c>
      <c r="Q4" s="181"/>
      <c r="R4" s="181"/>
    </row>
    <row r="5" spans="1:18" ht="60" customHeight="1" x14ac:dyDescent="0.25">
      <c r="A5" s="163">
        <v>3</v>
      </c>
      <c r="B5" s="163" t="s">
        <v>729</v>
      </c>
      <c r="C5" s="164" t="s">
        <v>730</v>
      </c>
      <c r="D5" s="169" t="s">
        <v>731</v>
      </c>
      <c r="E5" s="169" t="s">
        <v>732</v>
      </c>
      <c r="F5" s="163" t="s">
        <v>733</v>
      </c>
      <c r="G5" s="348" t="s">
        <v>758</v>
      </c>
      <c r="H5" s="348"/>
      <c r="I5" s="348"/>
      <c r="J5" s="348"/>
      <c r="K5" s="348"/>
      <c r="L5" s="348"/>
      <c r="M5" s="348"/>
      <c r="N5" s="348"/>
      <c r="O5" s="168" t="s">
        <v>825</v>
      </c>
      <c r="Q5" s="181"/>
      <c r="R5" s="181"/>
    </row>
    <row r="6" spans="1:18" ht="60" customHeight="1" x14ac:dyDescent="0.25">
      <c r="A6" s="163">
        <v>4</v>
      </c>
      <c r="B6" s="163" t="s">
        <v>780</v>
      </c>
      <c r="C6" s="164" t="s">
        <v>781</v>
      </c>
      <c r="D6" s="164" t="s">
        <v>782</v>
      </c>
      <c r="E6" s="164" t="s">
        <v>783</v>
      </c>
      <c r="F6" s="163" t="s">
        <v>784</v>
      </c>
      <c r="G6" s="348" t="s">
        <v>758</v>
      </c>
      <c r="H6" s="348"/>
      <c r="I6" s="348"/>
      <c r="J6" s="348"/>
      <c r="K6" s="348"/>
      <c r="L6" s="348"/>
      <c r="M6" s="348"/>
      <c r="N6" s="348"/>
      <c r="O6" s="168" t="s">
        <v>825</v>
      </c>
      <c r="Q6" s="181"/>
      <c r="R6" s="181"/>
    </row>
    <row r="7" spans="1:18" ht="60" customHeight="1" x14ac:dyDescent="0.25">
      <c r="A7" s="163">
        <v>5</v>
      </c>
      <c r="B7" s="163" t="s">
        <v>785</v>
      </c>
      <c r="C7" s="164" t="s">
        <v>786</v>
      </c>
      <c r="D7" s="164" t="s">
        <v>787</v>
      </c>
      <c r="E7" s="164" t="s">
        <v>788</v>
      </c>
      <c r="F7" s="163" t="s">
        <v>789</v>
      </c>
      <c r="G7" s="348" t="s">
        <v>758</v>
      </c>
      <c r="H7" s="348"/>
      <c r="I7" s="348"/>
      <c r="J7" s="348"/>
      <c r="K7" s="348"/>
      <c r="L7" s="348"/>
      <c r="M7" s="348"/>
      <c r="N7" s="348"/>
      <c r="O7" s="168" t="s">
        <v>825</v>
      </c>
      <c r="Q7" s="181"/>
      <c r="R7" s="181"/>
    </row>
    <row r="8" spans="1:18" ht="60" customHeight="1" x14ac:dyDescent="0.25">
      <c r="A8" s="163">
        <v>6</v>
      </c>
      <c r="B8" s="163" t="s">
        <v>836</v>
      </c>
      <c r="C8" s="164" t="s">
        <v>837</v>
      </c>
      <c r="D8" s="164" t="s">
        <v>838</v>
      </c>
      <c r="E8" s="164" t="s">
        <v>839</v>
      </c>
      <c r="F8" s="163" t="s">
        <v>840</v>
      </c>
      <c r="G8" s="166">
        <v>12010</v>
      </c>
      <c r="H8" s="167">
        <v>1195.3699999999999</v>
      </c>
      <c r="I8" s="167">
        <f>1834.6+31.63</f>
        <v>1866.23</v>
      </c>
      <c r="J8" s="167">
        <f>MIN(H8+I8,G8)</f>
        <v>3061.6</v>
      </c>
      <c r="K8" s="167">
        <v>1</v>
      </c>
      <c r="L8" s="200" t="s">
        <v>886</v>
      </c>
      <c r="M8" s="105" t="s">
        <v>120</v>
      </c>
      <c r="N8" s="164" t="s">
        <v>289</v>
      </c>
      <c r="O8" s="168" t="s">
        <v>835</v>
      </c>
      <c r="Q8" s="181"/>
      <c r="R8" s="181"/>
    </row>
    <row r="9" spans="1:18" ht="60" customHeight="1" x14ac:dyDescent="0.25">
      <c r="A9" s="163">
        <v>7</v>
      </c>
      <c r="B9" s="163" t="s">
        <v>841</v>
      </c>
      <c r="C9" s="164" t="s">
        <v>842</v>
      </c>
      <c r="D9" s="164" t="s">
        <v>843</v>
      </c>
      <c r="E9" s="164" t="s">
        <v>844</v>
      </c>
      <c r="F9" s="163" t="s">
        <v>845</v>
      </c>
      <c r="G9" s="166">
        <v>5960</v>
      </c>
      <c r="H9" s="167">
        <v>1486.46</v>
      </c>
      <c r="I9" s="167">
        <f>1963.14+31.63</f>
        <v>1994.7700000000002</v>
      </c>
      <c r="J9" s="167">
        <f t="shared" ref="J9:J14" si="0">MIN(H9+I9,G9)</f>
        <v>3481.2300000000005</v>
      </c>
      <c r="K9" s="336" t="s">
        <v>562</v>
      </c>
      <c r="L9" s="337"/>
      <c r="M9" s="338"/>
      <c r="N9" s="164" t="s">
        <v>289</v>
      </c>
      <c r="O9" s="168" t="s">
        <v>835</v>
      </c>
      <c r="Q9" s="181"/>
      <c r="R9" s="181"/>
    </row>
    <row r="10" spans="1:18" ht="60" customHeight="1" x14ac:dyDescent="0.25">
      <c r="A10" s="163">
        <v>8</v>
      </c>
      <c r="B10" s="163" t="s">
        <v>846</v>
      </c>
      <c r="C10" s="164" t="s">
        <v>847</v>
      </c>
      <c r="D10" s="164" t="s">
        <v>848</v>
      </c>
      <c r="E10" s="164" t="s">
        <v>849</v>
      </c>
      <c r="F10" s="163" t="s">
        <v>850</v>
      </c>
      <c r="G10" s="166">
        <v>11440</v>
      </c>
      <c r="H10" s="167">
        <v>3096.13</v>
      </c>
      <c r="I10" s="167">
        <f>1160.93+31.63</f>
        <v>1192.5600000000002</v>
      </c>
      <c r="J10" s="167">
        <f t="shared" si="0"/>
        <v>4288.6900000000005</v>
      </c>
      <c r="K10" s="167">
        <v>500</v>
      </c>
      <c r="L10" s="200" t="s">
        <v>885</v>
      </c>
      <c r="M10" s="164" t="s">
        <v>884</v>
      </c>
      <c r="N10" s="164" t="s">
        <v>289</v>
      </c>
      <c r="O10" s="168" t="s">
        <v>835</v>
      </c>
      <c r="Q10" s="181"/>
      <c r="R10" s="181"/>
    </row>
    <row r="11" spans="1:18" ht="60" customHeight="1" x14ac:dyDescent="0.25">
      <c r="A11" s="163">
        <v>9</v>
      </c>
      <c r="B11" s="163" t="s">
        <v>851</v>
      </c>
      <c r="C11" s="164" t="s">
        <v>852</v>
      </c>
      <c r="D11" s="164" t="s">
        <v>853</v>
      </c>
      <c r="E11" s="164" t="s">
        <v>854</v>
      </c>
      <c r="F11" s="163" t="s">
        <v>855</v>
      </c>
      <c r="G11" s="166">
        <v>3570</v>
      </c>
      <c r="H11" s="167">
        <v>457.66</v>
      </c>
      <c r="I11" s="167">
        <f>1067.32+31.63</f>
        <v>1098.95</v>
      </c>
      <c r="J11" s="167">
        <f t="shared" si="0"/>
        <v>1556.6100000000001</v>
      </c>
      <c r="K11" s="336" t="s">
        <v>562</v>
      </c>
      <c r="L11" s="337"/>
      <c r="M11" s="338"/>
      <c r="N11" s="164" t="s">
        <v>289</v>
      </c>
      <c r="O11" s="168" t="s">
        <v>835</v>
      </c>
      <c r="Q11" s="181"/>
      <c r="R11" s="181"/>
    </row>
    <row r="12" spans="1:18" ht="60" customHeight="1" x14ac:dyDescent="0.25">
      <c r="A12" s="163">
        <v>10</v>
      </c>
      <c r="B12" s="163" t="s">
        <v>856</v>
      </c>
      <c r="C12" s="164" t="s">
        <v>857</v>
      </c>
      <c r="D12" s="164" t="s">
        <v>858</v>
      </c>
      <c r="E12" s="164" t="s">
        <v>859</v>
      </c>
      <c r="F12" s="163" t="s">
        <v>860</v>
      </c>
      <c r="G12" s="166">
        <v>3490</v>
      </c>
      <c r="H12" s="167">
        <v>686.3</v>
      </c>
      <c r="I12" s="167">
        <f>1046.33+31.62</f>
        <v>1077.9499999999998</v>
      </c>
      <c r="J12" s="167">
        <f t="shared" si="0"/>
        <v>1764.2499999999998</v>
      </c>
      <c r="K12" s="336" t="s">
        <v>562</v>
      </c>
      <c r="L12" s="337"/>
      <c r="M12" s="338"/>
      <c r="N12" s="164" t="s">
        <v>289</v>
      </c>
      <c r="O12" s="168" t="s">
        <v>835</v>
      </c>
      <c r="Q12" s="181"/>
      <c r="R12" s="181"/>
    </row>
    <row r="13" spans="1:18" ht="60" customHeight="1" x14ac:dyDescent="0.25">
      <c r="A13" s="163">
        <v>11</v>
      </c>
      <c r="B13" s="163" t="s">
        <v>861</v>
      </c>
      <c r="C13" s="164" t="s">
        <v>862</v>
      </c>
      <c r="D13" s="164" t="s">
        <v>858</v>
      </c>
      <c r="E13" s="164" t="s">
        <v>863</v>
      </c>
      <c r="F13" s="163" t="s">
        <v>864</v>
      </c>
      <c r="G13" s="163">
        <v>2330</v>
      </c>
      <c r="H13" s="163">
        <v>490.59</v>
      </c>
      <c r="I13" s="167">
        <f>1046.33+31.62</f>
        <v>1077.9499999999998</v>
      </c>
      <c r="J13" s="167">
        <f t="shared" si="0"/>
        <v>1568.5399999999997</v>
      </c>
      <c r="K13" s="336" t="s">
        <v>562</v>
      </c>
      <c r="L13" s="337"/>
      <c r="M13" s="338"/>
      <c r="N13" s="164" t="s">
        <v>289</v>
      </c>
      <c r="O13" s="168" t="s">
        <v>835</v>
      </c>
      <c r="P13" s="171"/>
      <c r="Q13" s="181"/>
      <c r="R13" s="181"/>
    </row>
    <row r="14" spans="1:18" ht="60" customHeight="1" x14ac:dyDescent="0.25">
      <c r="A14" s="163">
        <v>12</v>
      </c>
      <c r="B14" s="163" t="s">
        <v>865</v>
      </c>
      <c r="C14" s="164" t="s">
        <v>866</v>
      </c>
      <c r="D14" s="164" t="s">
        <v>867</v>
      </c>
      <c r="E14" s="164" t="s">
        <v>868</v>
      </c>
      <c r="F14" s="163" t="s">
        <v>869</v>
      </c>
      <c r="G14" s="166">
        <v>1890</v>
      </c>
      <c r="H14" s="167">
        <v>531</v>
      </c>
      <c r="I14" s="167">
        <f>1080.69+31.62</f>
        <v>1112.31</v>
      </c>
      <c r="J14" s="167">
        <f t="shared" si="0"/>
        <v>1643.31</v>
      </c>
      <c r="K14" s="336" t="s">
        <v>562</v>
      </c>
      <c r="L14" s="337"/>
      <c r="M14" s="338"/>
      <c r="N14" s="164" t="s">
        <v>289</v>
      </c>
      <c r="O14" s="168" t="s">
        <v>835</v>
      </c>
      <c r="P14" s="171"/>
      <c r="Q14" s="181"/>
      <c r="R14" s="181"/>
    </row>
    <row r="15" spans="1:18" ht="60" customHeight="1" x14ac:dyDescent="0.25">
      <c r="A15" s="163">
        <v>13</v>
      </c>
      <c r="B15" s="163" t="s">
        <v>870</v>
      </c>
      <c r="C15" s="164" t="s">
        <v>871</v>
      </c>
      <c r="D15" s="164" t="s">
        <v>872</v>
      </c>
      <c r="E15" s="169" t="s">
        <v>873</v>
      </c>
      <c r="F15" s="163" t="s">
        <v>874</v>
      </c>
      <c r="G15" s="348" t="s">
        <v>758</v>
      </c>
      <c r="H15" s="348"/>
      <c r="I15" s="348"/>
      <c r="J15" s="348"/>
      <c r="K15" s="348"/>
      <c r="L15" s="348"/>
      <c r="M15" s="348"/>
      <c r="N15" s="348"/>
      <c r="O15" s="168" t="s">
        <v>825</v>
      </c>
      <c r="P15" s="171"/>
      <c r="Q15" s="181"/>
      <c r="R15" s="181"/>
    </row>
    <row r="16" spans="1:18" ht="60" customHeight="1" x14ac:dyDescent="0.25">
      <c r="A16" s="163">
        <v>14</v>
      </c>
      <c r="B16" s="163" t="s">
        <v>875</v>
      </c>
      <c r="C16" s="164" t="s">
        <v>871</v>
      </c>
      <c r="D16" s="164" t="s">
        <v>876</v>
      </c>
      <c r="E16" s="164" t="s">
        <v>877</v>
      </c>
      <c r="F16" s="163" t="s">
        <v>874</v>
      </c>
      <c r="G16" s="166">
        <v>2330</v>
      </c>
      <c r="H16" s="167">
        <v>239.03</v>
      </c>
      <c r="I16" s="167">
        <f>656.27+31.62</f>
        <v>687.89</v>
      </c>
      <c r="J16" s="167">
        <f t="shared" ref="J16:J17" si="1">MIN(H16+I16,G16)</f>
        <v>926.92</v>
      </c>
      <c r="K16" s="336" t="s">
        <v>562</v>
      </c>
      <c r="L16" s="337"/>
      <c r="M16" s="338"/>
      <c r="N16" s="164" t="s">
        <v>289</v>
      </c>
      <c r="O16" s="168" t="s">
        <v>835</v>
      </c>
      <c r="P16" s="171"/>
      <c r="Q16" s="181"/>
      <c r="R16" s="181"/>
    </row>
    <row r="17" spans="1:18" ht="60" customHeight="1" x14ac:dyDescent="0.25">
      <c r="A17" s="163">
        <v>15</v>
      </c>
      <c r="B17" s="163" t="s">
        <v>878</v>
      </c>
      <c r="C17" s="164" t="s">
        <v>871</v>
      </c>
      <c r="D17" s="164" t="s">
        <v>872</v>
      </c>
      <c r="E17" s="169" t="s">
        <v>879</v>
      </c>
      <c r="F17" s="163" t="s">
        <v>874</v>
      </c>
      <c r="G17" s="166">
        <v>1800</v>
      </c>
      <c r="H17" s="167">
        <v>273.58999999999997</v>
      </c>
      <c r="I17" s="167">
        <f>656.27+31.62</f>
        <v>687.89</v>
      </c>
      <c r="J17" s="167">
        <f t="shared" si="1"/>
        <v>961.48</v>
      </c>
      <c r="K17" s="167">
        <v>1</v>
      </c>
      <c r="L17" s="200" t="s">
        <v>883</v>
      </c>
      <c r="M17" s="105" t="s">
        <v>120</v>
      </c>
      <c r="N17" s="164" t="s">
        <v>289</v>
      </c>
      <c r="O17" s="168" t="s">
        <v>835</v>
      </c>
      <c r="P17" s="171"/>
      <c r="Q17" s="181"/>
      <c r="R17" s="181"/>
    </row>
    <row r="18" spans="1:18" ht="60" customHeight="1" x14ac:dyDescent="0.25">
      <c r="A18" s="163">
        <v>16</v>
      </c>
      <c r="B18" s="163" t="s">
        <v>880</v>
      </c>
      <c r="C18" s="164" t="s">
        <v>871</v>
      </c>
      <c r="D18" s="164" t="s">
        <v>881</v>
      </c>
      <c r="E18" s="169" t="s">
        <v>882</v>
      </c>
      <c r="F18" s="163" t="s">
        <v>874</v>
      </c>
      <c r="G18" s="348" t="s">
        <v>758</v>
      </c>
      <c r="H18" s="348"/>
      <c r="I18" s="348"/>
      <c r="J18" s="348"/>
      <c r="K18" s="348"/>
      <c r="L18" s="348"/>
      <c r="M18" s="348"/>
      <c r="N18" s="348"/>
      <c r="O18" s="168" t="s">
        <v>825</v>
      </c>
      <c r="P18" s="171"/>
      <c r="Q18" s="181"/>
      <c r="R18" s="181"/>
    </row>
    <row r="19" spans="1:18" ht="15.75" x14ac:dyDescent="0.25">
      <c r="A19" s="349" t="s">
        <v>645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171"/>
    </row>
    <row r="20" spans="1:18" x14ac:dyDescent="0.25">
      <c r="C20" s="156"/>
      <c r="D20" s="156"/>
      <c r="E20" s="156"/>
      <c r="G20" s="156"/>
      <c r="H20" s="156"/>
      <c r="I20" s="156"/>
      <c r="Q20" s="181"/>
    </row>
    <row r="21" spans="1:18" x14ac:dyDescent="0.25">
      <c r="C21" s="156"/>
      <c r="D21" s="156"/>
      <c r="E21" s="156"/>
      <c r="G21" s="156"/>
      <c r="H21" s="156"/>
      <c r="I21" s="156"/>
      <c r="J21" s="156"/>
    </row>
    <row r="22" spans="1:18" x14ac:dyDescent="0.25">
      <c r="C22" s="156"/>
      <c r="D22" s="156"/>
      <c r="E22" s="156"/>
      <c r="G22" s="193"/>
      <c r="H22" s="193"/>
      <c r="I22" s="193"/>
      <c r="J22" s="193"/>
      <c r="K22" s="193"/>
    </row>
    <row r="23" spans="1:18" x14ac:dyDescent="0.25">
      <c r="C23" s="156"/>
      <c r="D23" s="156"/>
      <c r="E23" s="156"/>
      <c r="G23" s="156"/>
      <c r="H23" s="156"/>
      <c r="I23" s="156"/>
      <c r="J23" s="156"/>
    </row>
    <row r="24" spans="1:18" x14ac:dyDescent="0.25">
      <c r="C24" s="156"/>
      <c r="D24" s="156"/>
      <c r="E24" s="156"/>
      <c r="G24" s="156"/>
      <c r="H24" s="156"/>
      <c r="I24" s="156"/>
      <c r="J24" s="156"/>
    </row>
    <row r="25" spans="1:18" x14ac:dyDescent="0.25">
      <c r="C25" s="156"/>
      <c r="D25" s="156"/>
      <c r="E25" s="156"/>
      <c r="G25" s="156"/>
      <c r="H25" s="156"/>
      <c r="I25" s="156"/>
      <c r="J25" s="156"/>
    </row>
    <row r="26" spans="1:18" x14ac:dyDescent="0.25">
      <c r="C26" s="156"/>
      <c r="D26" s="156"/>
      <c r="E26" s="156"/>
      <c r="G26" s="156"/>
      <c r="H26" s="156"/>
      <c r="I26" s="156"/>
      <c r="J26" s="156"/>
    </row>
    <row r="27" spans="1:18" x14ac:dyDescent="0.25">
      <c r="C27" s="156"/>
      <c r="D27" s="156"/>
      <c r="E27" s="156"/>
      <c r="G27" s="156"/>
      <c r="H27" s="156"/>
      <c r="I27" s="156"/>
      <c r="J27" s="156"/>
    </row>
    <row r="28" spans="1:18" x14ac:dyDescent="0.25">
      <c r="C28" s="156"/>
      <c r="D28" s="156"/>
      <c r="E28" s="156"/>
      <c r="G28" s="156"/>
      <c r="H28" s="156"/>
      <c r="I28" s="156"/>
      <c r="J28" s="156"/>
    </row>
    <row r="29" spans="1:18" x14ac:dyDescent="0.25">
      <c r="C29" s="156"/>
      <c r="D29" s="156"/>
      <c r="E29" s="156"/>
      <c r="G29" s="156"/>
      <c r="H29" s="156"/>
      <c r="I29" s="156"/>
      <c r="J29" s="156"/>
    </row>
    <row r="30" spans="1:18" x14ac:dyDescent="0.25">
      <c r="C30" s="156"/>
      <c r="D30" s="156"/>
      <c r="E30" s="156"/>
      <c r="G30" s="156"/>
      <c r="H30" s="156"/>
      <c r="I30" s="156"/>
      <c r="J30" s="156"/>
    </row>
    <row r="31" spans="1:18" x14ac:dyDescent="0.25">
      <c r="C31" s="156"/>
      <c r="D31" s="156"/>
      <c r="E31" s="156"/>
      <c r="G31" s="156"/>
      <c r="H31" s="156"/>
      <c r="I31" s="156"/>
      <c r="J31" s="156"/>
    </row>
    <row r="32" spans="1:18" x14ac:dyDescent="0.25">
      <c r="C32" s="156"/>
      <c r="D32" s="156"/>
      <c r="E32" s="156"/>
      <c r="G32" s="156"/>
      <c r="H32" s="156"/>
      <c r="I32" s="156"/>
      <c r="J32" s="156"/>
    </row>
    <row r="33" spans="3:10" x14ac:dyDescent="0.25">
      <c r="C33" s="156"/>
      <c r="D33" s="156"/>
      <c r="E33" s="156"/>
      <c r="G33" s="156"/>
      <c r="H33" s="156"/>
      <c r="I33" s="156"/>
      <c r="J33" s="156"/>
    </row>
    <row r="34" spans="3:10" x14ac:dyDescent="0.25">
      <c r="C34" s="156"/>
      <c r="D34" s="156"/>
      <c r="E34" s="156"/>
      <c r="G34" s="156"/>
      <c r="H34" s="156"/>
      <c r="I34" s="156"/>
      <c r="J34" s="156"/>
    </row>
    <row r="35" spans="3:10" x14ac:dyDescent="0.25">
      <c r="C35" s="156"/>
      <c r="D35" s="156"/>
      <c r="E35" s="156"/>
      <c r="G35" s="156"/>
      <c r="H35" s="156"/>
      <c r="I35" s="156"/>
      <c r="J35" s="156"/>
    </row>
    <row r="36" spans="3:10" x14ac:dyDescent="0.25">
      <c r="C36" s="156"/>
      <c r="D36" s="156"/>
      <c r="E36" s="156"/>
      <c r="G36" s="156"/>
      <c r="H36" s="156"/>
      <c r="I36" s="156"/>
      <c r="J36" s="156"/>
    </row>
    <row r="37" spans="3:10" x14ac:dyDescent="0.25">
      <c r="C37" s="156"/>
      <c r="D37" s="156"/>
      <c r="E37" s="156"/>
      <c r="G37" s="156"/>
      <c r="H37" s="156"/>
      <c r="I37" s="156"/>
      <c r="J37" s="156"/>
    </row>
    <row r="38" spans="3:10" x14ac:dyDescent="0.25">
      <c r="C38" s="156"/>
      <c r="D38" s="156"/>
      <c r="E38" s="156"/>
      <c r="G38" s="156"/>
      <c r="H38" s="156"/>
      <c r="I38" s="156"/>
      <c r="J38" s="156"/>
    </row>
    <row r="39" spans="3:10" x14ac:dyDescent="0.25">
      <c r="C39" s="156"/>
      <c r="D39" s="156"/>
      <c r="E39" s="156"/>
      <c r="G39" s="156"/>
      <c r="H39" s="156"/>
      <c r="I39" s="156"/>
      <c r="J39" s="156"/>
    </row>
    <row r="40" spans="3:10" x14ac:dyDescent="0.25">
      <c r="C40" s="156"/>
      <c r="D40" s="156"/>
      <c r="E40" s="156"/>
      <c r="G40" s="156"/>
      <c r="H40" s="156"/>
      <c r="I40" s="156"/>
      <c r="J40" s="156"/>
    </row>
    <row r="41" spans="3:10" x14ac:dyDescent="0.25">
      <c r="C41" s="156"/>
      <c r="D41" s="156"/>
      <c r="E41" s="156"/>
      <c r="G41" s="156"/>
      <c r="H41" s="156"/>
      <c r="I41" s="156"/>
      <c r="J41" s="156"/>
    </row>
    <row r="42" spans="3:10" x14ac:dyDescent="0.25">
      <c r="C42" s="156"/>
      <c r="D42" s="156"/>
      <c r="E42" s="156"/>
      <c r="G42" s="156"/>
      <c r="H42" s="156"/>
      <c r="I42" s="156"/>
      <c r="J42" s="156"/>
    </row>
    <row r="43" spans="3:10" x14ac:dyDescent="0.25">
      <c r="C43" s="156"/>
      <c r="D43" s="156"/>
      <c r="E43" s="156"/>
      <c r="G43" s="156"/>
      <c r="H43" s="156"/>
      <c r="I43" s="156"/>
      <c r="J43" s="156"/>
    </row>
    <row r="44" spans="3:10" x14ac:dyDescent="0.25">
      <c r="C44" s="156"/>
      <c r="D44" s="156"/>
      <c r="E44" s="156"/>
      <c r="G44" s="156"/>
      <c r="H44" s="156"/>
      <c r="I44" s="156"/>
      <c r="J44" s="156"/>
    </row>
    <row r="45" spans="3:10" x14ac:dyDescent="0.25">
      <c r="C45" s="156"/>
      <c r="D45" s="156"/>
      <c r="E45" s="156"/>
      <c r="G45" s="156"/>
      <c r="H45" s="156"/>
      <c r="I45" s="156"/>
      <c r="J45" s="156"/>
    </row>
    <row r="46" spans="3:10" x14ac:dyDescent="0.25">
      <c r="C46" s="156"/>
      <c r="D46" s="156"/>
      <c r="E46" s="156"/>
      <c r="G46" s="156"/>
      <c r="H46" s="156"/>
      <c r="I46" s="156"/>
      <c r="J46" s="156"/>
    </row>
    <row r="47" spans="3:10" x14ac:dyDescent="0.25">
      <c r="C47" s="156"/>
      <c r="D47" s="156"/>
      <c r="E47" s="156"/>
      <c r="G47" s="156"/>
      <c r="H47" s="156"/>
      <c r="I47" s="156"/>
      <c r="J47" s="156"/>
    </row>
    <row r="48" spans="3:10" x14ac:dyDescent="0.25">
      <c r="C48" s="156"/>
      <c r="D48" s="156"/>
      <c r="E48" s="156"/>
      <c r="G48" s="156"/>
      <c r="H48" s="156"/>
      <c r="I48" s="156"/>
      <c r="J48" s="156"/>
    </row>
    <row r="49" spans="3:10" x14ac:dyDescent="0.25">
      <c r="C49" s="156"/>
      <c r="D49" s="156"/>
      <c r="E49" s="156"/>
      <c r="G49" s="156"/>
      <c r="H49" s="156"/>
      <c r="I49" s="156"/>
      <c r="J49" s="156"/>
    </row>
    <row r="50" spans="3:10" x14ac:dyDescent="0.25">
      <c r="C50" s="156"/>
      <c r="D50" s="156"/>
      <c r="E50" s="156"/>
      <c r="G50" s="156"/>
      <c r="H50" s="156"/>
      <c r="I50" s="156"/>
      <c r="J50" s="156"/>
    </row>
    <row r="51" spans="3:10" x14ac:dyDescent="0.25">
      <c r="C51" s="156"/>
      <c r="D51" s="156"/>
      <c r="E51" s="156"/>
      <c r="G51" s="156"/>
      <c r="H51" s="156"/>
      <c r="I51" s="156"/>
      <c r="J51" s="156"/>
    </row>
    <row r="52" spans="3:10" x14ac:dyDescent="0.25">
      <c r="C52" s="156"/>
      <c r="D52" s="156"/>
      <c r="E52" s="156"/>
      <c r="G52" s="156"/>
      <c r="H52" s="156"/>
      <c r="I52" s="156"/>
      <c r="J52" s="156"/>
    </row>
    <row r="53" spans="3:10" x14ac:dyDescent="0.25">
      <c r="C53" s="156"/>
      <c r="D53" s="156"/>
      <c r="E53" s="156"/>
      <c r="G53" s="156"/>
      <c r="H53" s="156"/>
      <c r="I53" s="156"/>
      <c r="J53" s="156"/>
    </row>
    <row r="54" spans="3:10" x14ac:dyDescent="0.25">
      <c r="C54" s="156"/>
      <c r="D54" s="156"/>
      <c r="E54" s="156"/>
      <c r="G54" s="156"/>
      <c r="H54" s="156"/>
      <c r="I54" s="156"/>
      <c r="J54" s="156"/>
    </row>
    <row r="55" spans="3:10" x14ac:dyDescent="0.25">
      <c r="C55" s="156"/>
      <c r="D55" s="156"/>
      <c r="E55" s="156"/>
      <c r="G55" s="156"/>
      <c r="H55" s="156"/>
      <c r="I55" s="156"/>
      <c r="J55" s="156"/>
    </row>
    <row r="56" spans="3:10" x14ac:dyDescent="0.25">
      <c r="C56" s="156"/>
      <c r="D56" s="156"/>
      <c r="E56" s="156"/>
      <c r="G56" s="156"/>
      <c r="H56" s="156"/>
      <c r="I56" s="156"/>
      <c r="J56" s="156"/>
    </row>
    <row r="57" spans="3:10" x14ac:dyDescent="0.25">
      <c r="C57" s="156"/>
      <c r="D57" s="156"/>
      <c r="E57" s="156"/>
      <c r="G57" s="156"/>
      <c r="H57" s="156"/>
      <c r="I57" s="156"/>
      <c r="J57" s="156"/>
    </row>
    <row r="58" spans="3:10" x14ac:dyDescent="0.25">
      <c r="C58" s="156"/>
      <c r="D58" s="156"/>
      <c r="E58" s="156"/>
      <c r="G58" s="156"/>
      <c r="H58" s="156"/>
      <c r="I58" s="156"/>
      <c r="J58" s="156"/>
    </row>
    <row r="59" spans="3:10" x14ac:dyDescent="0.25">
      <c r="C59" s="156"/>
      <c r="D59" s="156"/>
      <c r="E59" s="156"/>
      <c r="G59" s="156"/>
      <c r="H59" s="156"/>
      <c r="I59" s="156"/>
      <c r="J59" s="156"/>
    </row>
    <row r="60" spans="3:10" x14ac:dyDescent="0.25">
      <c r="C60" s="156"/>
      <c r="D60" s="156"/>
      <c r="E60" s="156"/>
      <c r="G60" s="156"/>
      <c r="H60" s="156"/>
      <c r="I60" s="156"/>
      <c r="J60" s="156"/>
    </row>
    <row r="61" spans="3:10" x14ac:dyDescent="0.25">
      <c r="C61" s="156"/>
      <c r="D61" s="156"/>
      <c r="E61" s="156"/>
      <c r="G61" s="156"/>
      <c r="H61" s="156"/>
      <c r="I61" s="156"/>
      <c r="J61" s="156"/>
    </row>
    <row r="62" spans="3:10" x14ac:dyDescent="0.25">
      <c r="C62" s="156"/>
      <c r="D62" s="156"/>
      <c r="E62" s="156"/>
      <c r="G62" s="156"/>
      <c r="H62" s="156"/>
      <c r="I62" s="156"/>
      <c r="J62" s="156"/>
    </row>
    <row r="63" spans="3:10" x14ac:dyDescent="0.25">
      <c r="C63" s="156"/>
      <c r="D63" s="156"/>
      <c r="E63" s="156"/>
      <c r="G63" s="156"/>
      <c r="H63" s="156"/>
      <c r="I63" s="156"/>
      <c r="J63" s="156"/>
    </row>
    <row r="64" spans="3:10" x14ac:dyDescent="0.25">
      <c r="C64" s="156"/>
      <c r="D64" s="156"/>
      <c r="E64" s="156"/>
      <c r="G64" s="156"/>
      <c r="H64" s="156"/>
      <c r="I64" s="156"/>
      <c r="J64" s="156"/>
    </row>
    <row r="65" spans="3:10" x14ac:dyDescent="0.25">
      <c r="C65" s="156"/>
      <c r="D65" s="156"/>
      <c r="E65" s="156"/>
      <c r="G65" s="156"/>
      <c r="H65" s="156"/>
      <c r="I65" s="156"/>
      <c r="J65" s="156"/>
    </row>
    <row r="66" spans="3:10" x14ac:dyDescent="0.25">
      <c r="C66" s="156"/>
      <c r="D66" s="156"/>
      <c r="E66" s="156"/>
      <c r="G66" s="156"/>
      <c r="H66" s="156"/>
      <c r="I66" s="156"/>
      <c r="J66" s="156"/>
    </row>
    <row r="67" spans="3:10" x14ac:dyDescent="0.25">
      <c r="C67" s="156"/>
      <c r="D67" s="156"/>
      <c r="E67" s="156"/>
      <c r="G67" s="156"/>
      <c r="H67" s="156"/>
      <c r="I67" s="156"/>
      <c r="J67" s="156"/>
    </row>
    <row r="68" spans="3:10" x14ac:dyDescent="0.25">
      <c r="C68" s="156"/>
      <c r="D68" s="156"/>
      <c r="E68" s="156"/>
      <c r="G68" s="156"/>
      <c r="H68" s="156"/>
      <c r="I68" s="156"/>
      <c r="J68" s="156"/>
    </row>
    <row r="69" spans="3:10" x14ac:dyDescent="0.25">
      <c r="C69" s="156"/>
      <c r="D69" s="156"/>
      <c r="E69" s="156"/>
      <c r="G69" s="156"/>
      <c r="H69" s="156"/>
      <c r="I69" s="156"/>
      <c r="J69" s="156"/>
    </row>
    <row r="70" spans="3:10" x14ac:dyDescent="0.25">
      <c r="C70" s="156"/>
      <c r="D70" s="156"/>
      <c r="E70" s="156"/>
      <c r="G70" s="156"/>
      <c r="H70" s="156"/>
      <c r="I70" s="156"/>
      <c r="J70" s="156"/>
    </row>
    <row r="71" spans="3:10" x14ac:dyDescent="0.25">
      <c r="C71" s="156"/>
      <c r="D71" s="156"/>
      <c r="E71" s="156"/>
      <c r="G71" s="156"/>
      <c r="H71" s="156"/>
      <c r="I71" s="156"/>
      <c r="J71" s="156"/>
    </row>
    <row r="72" spans="3:10" x14ac:dyDescent="0.25">
      <c r="C72" s="156"/>
      <c r="D72" s="156"/>
      <c r="E72" s="156"/>
      <c r="G72" s="156"/>
      <c r="H72" s="156"/>
      <c r="I72" s="156"/>
      <c r="J72" s="156"/>
    </row>
    <row r="73" spans="3:10" x14ac:dyDescent="0.25">
      <c r="C73" s="156"/>
      <c r="D73" s="156"/>
      <c r="E73" s="156"/>
      <c r="G73" s="156"/>
      <c r="H73" s="156"/>
      <c r="I73" s="156"/>
      <c r="J73" s="156"/>
    </row>
    <row r="74" spans="3:10" x14ac:dyDescent="0.25">
      <c r="C74" s="156"/>
      <c r="D74" s="156"/>
      <c r="E74" s="156"/>
      <c r="G74" s="156"/>
      <c r="H74" s="156"/>
      <c r="I74" s="156"/>
      <c r="J74" s="156"/>
    </row>
    <row r="75" spans="3:10" x14ac:dyDescent="0.25">
      <c r="C75" s="156"/>
      <c r="D75" s="156"/>
      <c r="E75" s="156"/>
      <c r="G75" s="156"/>
      <c r="H75" s="156"/>
      <c r="I75" s="156"/>
      <c r="J75" s="156"/>
    </row>
    <row r="76" spans="3:10" x14ac:dyDescent="0.25">
      <c r="C76" s="156"/>
      <c r="D76" s="156"/>
      <c r="E76" s="156"/>
      <c r="G76" s="156"/>
      <c r="H76" s="156"/>
      <c r="I76" s="156"/>
      <c r="J76" s="156"/>
    </row>
    <row r="77" spans="3:10" x14ac:dyDescent="0.25">
      <c r="C77" s="156"/>
      <c r="D77" s="156"/>
      <c r="E77" s="156"/>
      <c r="G77" s="156"/>
      <c r="H77" s="156"/>
      <c r="I77" s="156"/>
      <c r="J77" s="156"/>
    </row>
    <row r="78" spans="3:10" x14ac:dyDescent="0.25">
      <c r="C78" s="156"/>
      <c r="D78" s="156"/>
      <c r="E78" s="156"/>
      <c r="G78" s="156"/>
      <c r="H78" s="156"/>
      <c r="I78" s="156"/>
      <c r="J78" s="156"/>
    </row>
    <row r="79" spans="3:10" x14ac:dyDescent="0.25">
      <c r="C79" s="156"/>
      <c r="D79" s="156"/>
      <c r="E79" s="156"/>
      <c r="G79" s="156"/>
      <c r="H79" s="156"/>
      <c r="I79" s="156"/>
      <c r="J79" s="156"/>
    </row>
    <row r="80" spans="3:10" x14ac:dyDescent="0.25">
      <c r="C80" s="156"/>
      <c r="D80" s="156"/>
      <c r="E80" s="156"/>
      <c r="G80" s="156"/>
      <c r="H80" s="156"/>
      <c r="I80" s="156"/>
      <c r="J80" s="156"/>
    </row>
    <row r="81" spans="3:10" x14ac:dyDescent="0.25">
      <c r="C81" s="156"/>
      <c r="D81" s="156"/>
      <c r="E81" s="156"/>
      <c r="G81" s="156"/>
      <c r="H81" s="156"/>
      <c r="I81" s="156"/>
      <c r="J81" s="156"/>
    </row>
    <row r="82" spans="3:10" x14ac:dyDescent="0.25">
      <c r="C82" s="156"/>
      <c r="D82" s="156"/>
      <c r="E82" s="156"/>
      <c r="G82" s="156"/>
      <c r="H82" s="156"/>
      <c r="I82" s="156"/>
      <c r="J82" s="156"/>
    </row>
    <row r="83" spans="3:10" x14ac:dyDescent="0.25">
      <c r="C83" s="156"/>
      <c r="D83" s="156"/>
      <c r="E83" s="156"/>
      <c r="G83" s="156"/>
      <c r="H83" s="156"/>
      <c r="I83" s="156"/>
      <c r="J83" s="156"/>
    </row>
    <row r="84" spans="3:10" x14ac:dyDescent="0.25">
      <c r="C84" s="156"/>
      <c r="D84" s="156"/>
      <c r="E84" s="156"/>
      <c r="G84" s="156"/>
      <c r="H84" s="156"/>
      <c r="I84" s="156"/>
      <c r="J84" s="156"/>
    </row>
    <row r="85" spans="3:10" x14ac:dyDescent="0.25">
      <c r="C85" s="156"/>
      <c r="D85" s="156"/>
      <c r="E85" s="156"/>
      <c r="G85" s="156"/>
      <c r="H85" s="156"/>
      <c r="I85" s="156"/>
      <c r="J85" s="156"/>
    </row>
    <row r="86" spans="3:10" x14ac:dyDescent="0.25">
      <c r="C86" s="156"/>
      <c r="D86" s="156"/>
      <c r="E86" s="156"/>
      <c r="G86" s="156"/>
      <c r="H86" s="156"/>
      <c r="I86" s="156"/>
      <c r="J86" s="156"/>
    </row>
    <row r="87" spans="3:10" x14ac:dyDescent="0.25">
      <c r="C87" s="156"/>
      <c r="D87" s="156"/>
      <c r="E87" s="156"/>
      <c r="G87" s="156"/>
      <c r="H87" s="156"/>
      <c r="I87" s="156"/>
      <c r="J87" s="156"/>
    </row>
    <row r="88" spans="3:10" x14ac:dyDescent="0.25">
      <c r="C88" s="156"/>
      <c r="D88" s="156"/>
      <c r="E88" s="156"/>
      <c r="G88" s="156"/>
      <c r="H88" s="156"/>
      <c r="I88" s="156"/>
      <c r="J88" s="156"/>
    </row>
    <row r="89" spans="3:10" x14ac:dyDescent="0.25">
      <c r="C89" s="156"/>
      <c r="D89" s="156"/>
      <c r="E89" s="156"/>
      <c r="G89" s="156"/>
      <c r="H89" s="156"/>
      <c r="I89" s="156"/>
      <c r="J89" s="156"/>
    </row>
    <row r="90" spans="3:10" x14ac:dyDescent="0.25">
      <c r="C90" s="156"/>
      <c r="D90" s="156"/>
      <c r="E90" s="156"/>
      <c r="G90" s="156"/>
      <c r="H90" s="156"/>
      <c r="I90" s="156"/>
      <c r="J90" s="156"/>
    </row>
    <row r="91" spans="3:10" x14ac:dyDescent="0.25">
      <c r="C91" s="156"/>
      <c r="D91" s="156"/>
      <c r="E91" s="156"/>
      <c r="G91" s="156"/>
      <c r="H91" s="156"/>
      <c r="I91" s="156"/>
      <c r="J91" s="156"/>
    </row>
    <row r="92" spans="3:10" x14ac:dyDescent="0.25">
      <c r="C92" s="156"/>
      <c r="D92" s="156"/>
      <c r="E92" s="156"/>
      <c r="G92" s="156"/>
      <c r="H92" s="156"/>
      <c r="I92" s="156"/>
      <c r="J92" s="156"/>
    </row>
    <row r="93" spans="3:10" x14ac:dyDescent="0.25">
      <c r="C93" s="156"/>
      <c r="D93" s="156"/>
      <c r="E93" s="156"/>
      <c r="G93" s="156"/>
      <c r="H93" s="156"/>
      <c r="I93" s="156"/>
      <c r="J93" s="156"/>
    </row>
    <row r="94" spans="3:10" x14ac:dyDescent="0.25">
      <c r="C94" s="156"/>
      <c r="D94" s="156"/>
      <c r="E94" s="156"/>
      <c r="G94" s="156"/>
      <c r="H94" s="156"/>
      <c r="I94" s="156"/>
      <c r="J94" s="156"/>
    </row>
    <row r="95" spans="3:10" x14ac:dyDescent="0.25">
      <c r="C95" s="156"/>
      <c r="D95" s="156"/>
      <c r="E95" s="156"/>
      <c r="G95" s="156"/>
      <c r="H95" s="156"/>
      <c r="I95" s="156"/>
      <c r="J95" s="156"/>
    </row>
    <row r="96" spans="3:10" x14ac:dyDescent="0.25">
      <c r="C96" s="156"/>
      <c r="D96" s="156"/>
      <c r="E96" s="156"/>
      <c r="G96" s="156"/>
      <c r="H96" s="156"/>
      <c r="I96" s="156"/>
      <c r="J96" s="156"/>
    </row>
    <row r="97" spans="3:10" x14ac:dyDescent="0.25">
      <c r="C97" s="156"/>
      <c r="D97" s="156"/>
      <c r="E97" s="156"/>
      <c r="G97" s="156"/>
      <c r="H97" s="156"/>
      <c r="I97" s="156"/>
      <c r="J97" s="156"/>
    </row>
    <row r="98" spans="3:10" x14ac:dyDescent="0.25">
      <c r="C98" s="156"/>
      <c r="D98" s="156"/>
      <c r="E98" s="156"/>
      <c r="G98" s="156"/>
      <c r="H98" s="156"/>
      <c r="I98" s="156"/>
      <c r="J98" s="156"/>
    </row>
    <row r="99" spans="3:10" x14ac:dyDescent="0.25">
      <c r="C99" s="156"/>
      <c r="D99" s="156"/>
      <c r="E99" s="156"/>
      <c r="G99" s="156"/>
      <c r="H99" s="156"/>
      <c r="I99" s="156"/>
      <c r="J99" s="156"/>
    </row>
    <row r="100" spans="3:10" x14ac:dyDescent="0.25">
      <c r="C100" s="156"/>
      <c r="D100" s="156"/>
      <c r="E100" s="156"/>
      <c r="G100" s="156"/>
      <c r="H100" s="156"/>
      <c r="I100" s="156"/>
      <c r="J100" s="156"/>
    </row>
    <row r="101" spans="3:10" x14ac:dyDescent="0.25">
      <c r="C101" s="156"/>
      <c r="D101" s="156"/>
      <c r="E101" s="156"/>
      <c r="G101" s="156"/>
      <c r="H101" s="156"/>
      <c r="I101" s="156"/>
      <c r="J101" s="156"/>
    </row>
    <row r="102" spans="3:10" x14ac:dyDescent="0.25">
      <c r="C102" s="156"/>
      <c r="D102" s="156"/>
      <c r="E102" s="156"/>
      <c r="G102" s="156"/>
      <c r="H102" s="156"/>
      <c r="I102" s="156"/>
      <c r="J102" s="156"/>
    </row>
    <row r="103" spans="3:10" x14ac:dyDescent="0.25">
      <c r="C103" s="156"/>
      <c r="D103" s="156"/>
      <c r="E103" s="156"/>
      <c r="G103" s="156"/>
      <c r="H103" s="156"/>
      <c r="I103" s="156"/>
      <c r="J103" s="156"/>
    </row>
    <row r="104" spans="3:10" x14ac:dyDescent="0.25">
      <c r="C104" s="156"/>
      <c r="D104" s="156"/>
      <c r="E104" s="156"/>
      <c r="G104" s="156"/>
      <c r="H104" s="156"/>
      <c r="I104" s="156"/>
      <c r="J104" s="156"/>
    </row>
    <row r="105" spans="3:10" x14ac:dyDescent="0.25">
      <c r="C105" s="156"/>
      <c r="D105" s="156"/>
      <c r="E105" s="156"/>
      <c r="G105" s="156"/>
      <c r="H105" s="156"/>
      <c r="I105" s="156"/>
      <c r="J105" s="156"/>
    </row>
    <row r="106" spans="3:10" x14ac:dyDescent="0.25">
      <c r="C106" s="156"/>
      <c r="D106" s="156"/>
      <c r="E106" s="156"/>
      <c r="G106" s="156"/>
      <c r="H106" s="156"/>
      <c r="I106" s="156"/>
      <c r="J106" s="156"/>
    </row>
    <row r="107" spans="3:10" x14ac:dyDescent="0.25">
      <c r="C107" s="156"/>
      <c r="D107" s="156"/>
      <c r="E107" s="156"/>
      <c r="G107" s="156"/>
      <c r="H107" s="156"/>
      <c r="I107" s="156"/>
      <c r="J107" s="156"/>
    </row>
    <row r="108" spans="3:10" x14ac:dyDescent="0.25">
      <c r="C108" s="156"/>
      <c r="D108" s="156"/>
      <c r="E108" s="156"/>
      <c r="G108" s="156"/>
      <c r="H108" s="156"/>
      <c r="I108" s="156"/>
      <c r="J108" s="156"/>
    </row>
    <row r="109" spans="3:10" x14ac:dyDescent="0.25">
      <c r="C109" s="156"/>
      <c r="D109" s="156"/>
      <c r="E109" s="156"/>
      <c r="G109" s="156"/>
      <c r="H109" s="156"/>
      <c r="I109" s="156"/>
      <c r="J109" s="156"/>
    </row>
    <row r="110" spans="3:10" x14ac:dyDescent="0.25">
      <c r="C110" s="156"/>
      <c r="D110" s="156"/>
      <c r="E110" s="156"/>
      <c r="G110" s="156"/>
      <c r="H110" s="156"/>
      <c r="I110" s="156"/>
      <c r="J110" s="156"/>
    </row>
    <row r="111" spans="3:10" x14ac:dyDescent="0.25">
      <c r="C111" s="156"/>
      <c r="D111" s="156"/>
      <c r="E111" s="156"/>
      <c r="G111" s="156"/>
      <c r="H111" s="156"/>
      <c r="I111" s="156"/>
      <c r="J111" s="156"/>
    </row>
    <row r="112" spans="3:10" x14ac:dyDescent="0.25">
      <c r="C112" s="156"/>
      <c r="D112" s="156"/>
      <c r="E112" s="156"/>
      <c r="G112" s="156"/>
      <c r="H112" s="156"/>
      <c r="I112" s="156"/>
      <c r="J112" s="156"/>
    </row>
    <row r="113" spans="3:10" x14ac:dyDescent="0.25">
      <c r="C113" s="156"/>
      <c r="D113" s="156"/>
      <c r="E113" s="156"/>
      <c r="G113" s="156"/>
      <c r="H113" s="156"/>
      <c r="I113" s="156"/>
      <c r="J113" s="156"/>
    </row>
    <row r="114" spans="3:10" x14ac:dyDescent="0.25">
      <c r="C114" s="156"/>
      <c r="D114" s="156"/>
      <c r="E114" s="156"/>
      <c r="G114" s="156"/>
      <c r="H114" s="156"/>
      <c r="I114" s="156"/>
      <c r="J114" s="156"/>
    </row>
    <row r="115" spans="3:10" x14ac:dyDescent="0.25">
      <c r="C115" s="156"/>
      <c r="D115" s="156"/>
      <c r="E115" s="156"/>
      <c r="G115" s="156"/>
      <c r="H115" s="156"/>
      <c r="I115" s="156"/>
      <c r="J115" s="156"/>
    </row>
    <row r="116" spans="3:10" x14ac:dyDescent="0.25">
      <c r="C116" s="156"/>
      <c r="D116" s="156"/>
      <c r="E116" s="156"/>
      <c r="G116" s="156"/>
      <c r="H116" s="156"/>
      <c r="I116" s="156"/>
      <c r="J116" s="156"/>
    </row>
    <row r="117" spans="3:10" x14ac:dyDescent="0.25">
      <c r="C117" s="156"/>
      <c r="D117" s="156"/>
      <c r="E117" s="156"/>
      <c r="G117" s="156"/>
      <c r="H117" s="156"/>
      <c r="I117" s="156"/>
      <c r="J117" s="156"/>
    </row>
    <row r="118" spans="3:10" x14ac:dyDescent="0.25">
      <c r="C118" s="156"/>
      <c r="D118" s="156"/>
      <c r="E118" s="156"/>
      <c r="G118" s="156"/>
      <c r="H118" s="156"/>
      <c r="I118" s="156"/>
      <c r="J118" s="156"/>
    </row>
    <row r="119" spans="3:10" x14ac:dyDescent="0.25">
      <c r="C119" s="156"/>
      <c r="D119" s="156"/>
      <c r="E119" s="156"/>
      <c r="G119" s="156"/>
      <c r="H119" s="156"/>
      <c r="I119" s="156"/>
      <c r="J119" s="156"/>
    </row>
    <row r="120" spans="3:10" x14ac:dyDescent="0.25">
      <c r="C120" s="156"/>
      <c r="D120" s="156"/>
      <c r="E120" s="156"/>
      <c r="G120" s="156"/>
      <c r="H120" s="156"/>
      <c r="I120" s="156"/>
      <c r="J120" s="156"/>
    </row>
    <row r="121" spans="3:10" x14ac:dyDescent="0.25">
      <c r="C121" s="156"/>
      <c r="D121" s="156"/>
      <c r="E121" s="156"/>
      <c r="G121" s="156"/>
      <c r="H121" s="156"/>
      <c r="I121" s="156"/>
      <c r="J121" s="156"/>
    </row>
    <row r="122" spans="3:10" x14ac:dyDescent="0.25">
      <c r="C122" s="156"/>
      <c r="D122" s="156"/>
      <c r="E122" s="156"/>
      <c r="G122" s="156"/>
      <c r="H122" s="156"/>
      <c r="I122" s="156"/>
      <c r="J122" s="156"/>
    </row>
    <row r="123" spans="3:10" x14ac:dyDescent="0.25">
      <c r="C123" s="156"/>
      <c r="D123" s="156"/>
      <c r="E123" s="156"/>
      <c r="G123" s="156"/>
      <c r="H123" s="156"/>
      <c r="I123" s="156"/>
      <c r="J123" s="156"/>
    </row>
    <row r="124" spans="3:10" x14ac:dyDescent="0.25">
      <c r="C124" s="156"/>
      <c r="D124" s="156"/>
      <c r="E124" s="156"/>
      <c r="G124" s="156"/>
      <c r="H124" s="156"/>
      <c r="I124" s="156"/>
      <c r="J124" s="156"/>
    </row>
    <row r="125" spans="3:10" x14ac:dyDescent="0.25">
      <c r="C125" s="156"/>
      <c r="D125" s="156"/>
      <c r="E125" s="156"/>
      <c r="G125" s="156"/>
      <c r="H125" s="156"/>
      <c r="I125" s="156"/>
      <c r="J125" s="156"/>
    </row>
    <row r="126" spans="3:10" x14ac:dyDescent="0.25">
      <c r="C126" s="156"/>
      <c r="D126" s="156"/>
      <c r="E126" s="156"/>
      <c r="G126" s="156"/>
      <c r="H126" s="156"/>
      <c r="I126" s="156"/>
      <c r="J126" s="156"/>
    </row>
    <row r="127" spans="3:10" x14ac:dyDescent="0.25">
      <c r="C127" s="156"/>
      <c r="D127" s="156"/>
      <c r="E127" s="156"/>
      <c r="G127" s="156"/>
      <c r="H127" s="156"/>
      <c r="I127" s="156"/>
      <c r="J127" s="156"/>
    </row>
    <row r="128" spans="3:10" x14ac:dyDescent="0.25">
      <c r="C128" s="156"/>
      <c r="D128" s="156"/>
      <c r="E128" s="156"/>
      <c r="G128" s="156"/>
      <c r="H128" s="156"/>
      <c r="I128" s="156"/>
      <c r="J128" s="156"/>
    </row>
    <row r="129" spans="3:10" x14ac:dyDescent="0.25">
      <c r="C129" s="156"/>
      <c r="D129" s="156"/>
      <c r="E129" s="156"/>
      <c r="G129" s="156"/>
      <c r="H129" s="156"/>
      <c r="I129" s="156"/>
      <c r="J129" s="156"/>
    </row>
    <row r="130" spans="3:10" x14ac:dyDescent="0.25">
      <c r="C130" s="156"/>
      <c r="D130" s="156"/>
      <c r="E130" s="156"/>
      <c r="G130" s="156"/>
      <c r="H130" s="156"/>
      <c r="I130" s="156"/>
      <c r="J130" s="156"/>
    </row>
    <row r="131" spans="3:10" x14ac:dyDescent="0.25">
      <c r="C131" s="156"/>
      <c r="D131" s="156"/>
      <c r="E131" s="156"/>
      <c r="G131" s="156"/>
      <c r="H131" s="156"/>
      <c r="I131" s="156"/>
      <c r="J131" s="156"/>
    </row>
    <row r="132" spans="3:10" x14ac:dyDescent="0.25">
      <c r="C132" s="156"/>
      <c r="D132" s="156"/>
      <c r="E132" s="156"/>
      <c r="G132" s="156"/>
      <c r="H132" s="156"/>
      <c r="I132" s="156"/>
      <c r="J132" s="156"/>
    </row>
    <row r="133" spans="3:10" x14ac:dyDescent="0.25">
      <c r="C133" s="156"/>
      <c r="D133" s="156"/>
      <c r="E133" s="156"/>
      <c r="G133" s="156"/>
      <c r="H133" s="156"/>
      <c r="I133" s="156"/>
      <c r="J133" s="156"/>
    </row>
    <row r="134" spans="3:10" x14ac:dyDescent="0.25">
      <c r="C134" s="156"/>
      <c r="D134" s="156"/>
      <c r="E134" s="156"/>
      <c r="G134" s="156"/>
      <c r="H134" s="156"/>
      <c r="I134" s="156"/>
      <c r="J134" s="156"/>
    </row>
    <row r="135" spans="3:10" x14ac:dyDescent="0.25">
      <c r="C135" s="156"/>
      <c r="D135" s="156"/>
      <c r="E135" s="156"/>
      <c r="G135" s="156"/>
      <c r="H135" s="156"/>
      <c r="I135" s="156"/>
      <c r="J135" s="156"/>
    </row>
    <row r="136" spans="3:10" x14ac:dyDescent="0.25">
      <c r="C136" s="156"/>
      <c r="D136" s="156"/>
      <c r="E136" s="156"/>
      <c r="G136" s="156"/>
      <c r="H136" s="156"/>
      <c r="I136" s="156"/>
      <c r="J136" s="156"/>
    </row>
    <row r="137" spans="3:10" x14ac:dyDescent="0.25">
      <c r="C137" s="156"/>
      <c r="D137" s="156"/>
      <c r="E137" s="156"/>
      <c r="G137" s="156"/>
      <c r="H137" s="156"/>
      <c r="I137" s="156"/>
      <c r="J137" s="156"/>
    </row>
    <row r="138" spans="3:10" x14ac:dyDescent="0.25">
      <c r="C138" s="156"/>
      <c r="D138" s="156"/>
      <c r="E138" s="156"/>
      <c r="G138" s="156"/>
      <c r="H138" s="156"/>
      <c r="I138" s="156"/>
      <c r="J138" s="156"/>
    </row>
    <row r="139" spans="3:10" x14ac:dyDescent="0.25">
      <c r="C139" s="156"/>
      <c r="D139" s="156"/>
      <c r="E139" s="156"/>
      <c r="G139" s="156"/>
      <c r="H139" s="156"/>
      <c r="I139" s="156"/>
      <c r="J139" s="156"/>
    </row>
    <row r="140" spans="3:10" x14ac:dyDescent="0.25">
      <c r="C140" s="156"/>
      <c r="D140" s="156"/>
      <c r="E140" s="156"/>
      <c r="G140" s="156"/>
      <c r="H140" s="156"/>
      <c r="I140" s="156"/>
      <c r="J140" s="156"/>
    </row>
    <row r="141" spans="3:10" x14ac:dyDescent="0.25">
      <c r="C141" s="156"/>
      <c r="D141" s="156"/>
      <c r="E141" s="156"/>
      <c r="G141" s="156"/>
      <c r="H141" s="156"/>
      <c r="I141" s="156"/>
      <c r="J141" s="156"/>
    </row>
    <row r="142" spans="3:10" x14ac:dyDescent="0.25">
      <c r="C142" s="156"/>
      <c r="D142" s="156"/>
      <c r="E142" s="156"/>
      <c r="G142" s="156"/>
      <c r="H142" s="156"/>
      <c r="I142" s="156"/>
      <c r="J142" s="156"/>
    </row>
    <row r="143" spans="3:10" x14ac:dyDescent="0.25">
      <c r="C143" s="156"/>
      <c r="D143" s="156"/>
      <c r="E143" s="156"/>
      <c r="G143" s="156"/>
      <c r="H143" s="156"/>
      <c r="I143" s="156"/>
      <c r="J143" s="156"/>
    </row>
    <row r="144" spans="3:10" x14ac:dyDescent="0.25">
      <c r="C144" s="156"/>
      <c r="D144" s="156"/>
      <c r="E144" s="156"/>
      <c r="G144" s="156"/>
      <c r="H144" s="156"/>
      <c r="I144" s="156"/>
      <c r="J144" s="156"/>
    </row>
    <row r="145" spans="3:10" x14ac:dyDescent="0.25">
      <c r="C145" s="156"/>
      <c r="D145" s="156"/>
      <c r="E145" s="156"/>
      <c r="G145" s="156"/>
      <c r="H145" s="156"/>
      <c r="I145" s="156"/>
      <c r="J145" s="156"/>
    </row>
    <row r="146" spans="3:10" x14ac:dyDescent="0.25">
      <c r="C146" s="156"/>
      <c r="D146" s="156"/>
      <c r="E146" s="156"/>
      <c r="G146" s="156"/>
      <c r="H146" s="156"/>
      <c r="I146" s="156"/>
      <c r="J146" s="156"/>
    </row>
    <row r="147" spans="3:10" x14ac:dyDescent="0.25">
      <c r="C147" s="156"/>
      <c r="D147" s="156"/>
      <c r="E147" s="156"/>
      <c r="G147" s="156"/>
      <c r="H147" s="156"/>
      <c r="I147" s="156"/>
      <c r="J147" s="156"/>
    </row>
    <row r="148" spans="3:10" x14ac:dyDescent="0.25">
      <c r="C148" s="156"/>
      <c r="D148" s="156"/>
      <c r="E148" s="156"/>
      <c r="G148" s="156"/>
      <c r="H148" s="156"/>
      <c r="I148" s="156"/>
      <c r="J148" s="156"/>
    </row>
    <row r="149" spans="3:10" x14ac:dyDescent="0.25">
      <c r="C149" s="156"/>
      <c r="D149" s="156"/>
      <c r="E149" s="156"/>
      <c r="G149" s="156"/>
      <c r="H149" s="156"/>
      <c r="I149" s="156"/>
      <c r="J149" s="156"/>
    </row>
    <row r="150" spans="3:10" x14ac:dyDescent="0.25">
      <c r="C150" s="156"/>
      <c r="D150" s="156"/>
      <c r="E150" s="156"/>
      <c r="G150" s="156"/>
      <c r="H150" s="156"/>
      <c r="I150" s="156"/>
      <c r="J150" s="156"/>
    </row>
    <row r="151" spans="3:10" x14ac:dyDescent="0.25">
      <c r="C151" s="156"/>
      <c r="D151" s="156"/>
      <c r="E151" s="156"/>
      <c r="G151" s="156"/>
      <c r="H151" s="156"/>
      <c r="I151" s="156"/>
      <c r="J151" s="156"/>
    </row>
    <row r="152" spans="3:10" x14ac:dyDescent="0.25">
      <c r="C152" s="156"/>
      <c r="D152" s="156"/>
      <c r="E152" s="156"/>
      <c r="G152" s="156"/>
      <c r="H152" s="156"/>
      <c r="I152" s="156"/>
      <c r="J152" s="156"/>
    </row>
    <row r="153" spans="3:10" x14ac:dyDescent="0.25">
      <c r="C153" s="156"/>
      <c r="D153" s="156"/>
      <c r="E153" s="156"/>
      <c r="G153" s="156"/>
      <c r="H153" s="156"/>
      <c r="I153" s="156"/>
      <c r="J153" s="156"/>
    </row>
    <row r="154" spans="3:10" x14ac:dyDescent="0.25">
      <c r="C154" s="156"/>
      <c r="D154" s="156"/>
      <c r="E154" s="156"/>
      <c r="G154" s="156"/>
      <c r="H154" s="156"/>
      <c r="I154" s="156"/>
      <c r="J154" s="156"/>
    </row>
    <row r="155" spans="3:10" x14ac:dyDescent="0.25">
      <c r="C155" s="156"/>
      <c r="D155" s="156"/>
      <c r="E155" s="156"/>
      <c r="G155" s="156"/>
      <c r="H155" s="156"/>
      <c r="I155" s="156"/>
      <c r="J155" s="156"/>
    </row>
    <row r="156" spans="3:10" x14ac:dyDescent="0.25">
      <c r="C156" s="156"/>
      <c r="D156" s="156"/>
      <c r="E156" s="156"/>
      <c r="G156" s="156"/>
      <c r="H156" s="156"/>
      <c r="I156" s="156"/>
      <c r="J156" s="156"/>
    </row>
    <row r="157" spans="3:10" x14ac:dyDescent="0.25">
      <c r="C157" s="156"/>
      <c r="D157" s="156"/>
      <c r="E157" s="156"/>
      <c r="G157" s="156"/>
      <c r="H157" s="156"/>
      <c r="I157" s="156"/>
      <c r="J157" s="156"/>
    </row>
    <row r="158" spans="3:10" x14ac:dyDescent="0.25">
      <c r="C158" s="156"/>
      <c r="D158" s="156"/>
      <c r="E158" s="156"/>
      <c r="G158" s="156"/>
      <c r="H158" s="156"/>
      <c r="I158" s="156"/>
      <c r="J158" s="156"/>
    </row>
    <row r="159" spans="3:10" x14ac:dyDescent="0.25">
      <c r="C159" s="156"/>
      <c r="D159" s="156"/>
      <c r="E159" s="156"/>
      <c r="G159" s="156"/>
      <c r="H159" s="156"/>
      <c r="I159" s="156"/>
      <c r="J159" s="156"/>
    </row>
    <row r="160" spans="3:10" x14ac:dyDescent="0.25">
      <c r="C160" s="156"/>
      <c r="D160" s="156"/>
      <c r="E160" s="156"/>
      <c r="G160" s="156"/>
      <c r="H160" s="156"/>
      <c r="I160" s="156"/>
      <c r="J160" s="156"/>
    </row>
    <row r="161" spans="3:10" x14ac:dyDescent="0.25">
      <c r="C161" s="156"/>
      <c r="D161" s="156"/>
      <c r="E161" s="156"/>
      <c r="G161" s="156"/>
      <c r="H161" s="156"/>
      <c r="I161" s="156"/>
      <c r="J161" s="156"/>
    </row>
    <row r="162" spans="3:10" x14ac:dyDescent="0.25">
      <c r="C162" s="156"/>
      <c r="D162" s="156"/>
      <c r="E162" s="156"/>
      <c r="G162" s="156"/>
      <c r="H162" s="156"/>
      <c r="I162" s="156"/>
      <c r="J162" s="156"/>
    </row>
    <row r="163" spans="3:10" x14ac:dyDescent="0.25">
      <c r="C163" s="156"/>
      <c r="D163" s="156"/>
      <c r="E163" s="156"/>
      <c r="G163" s="156"/>
      <c r="H163" s="156"/>
      <c r="I163" s="156"/>
      <c r="J163" s="156"/>
    </row>
    <row r="164" spans="3:10" x14ac:dyDescent="0.25">
      <c r="C164" s="156"/>
      <c r="D164" s="156"/>
      <c r="E164" s="156"/>
      <c r="G164" s="156"/>
      <c r="H164" s="156"/>
      <c r="I164" s="156"/>
      <c r="J164" s="156"/>
    </row>
    <row r="165" spans="3:10" x14ac:dyDescent="0.25">
      <c r="C165" s="156"/>
      <c r="D165" s="156"/>
      <c r="E165" s="156"/>
      <c r="G165" s="156"/>
      <c r="H165" s="156"/>
      <c r="I165" s="156"/>
      <c r="J165" s="156"/>
    </row>
    <row r="166" spans="3:10" x14ac:dyDescent="0.25">
      <c r="C166" s="156"/>
      <c r="D166" s="156"/>
      <c r="E166" s="156"/>
      <c r="G166" s="156"/>
      <c r="H166" s="156"/>
      <c r="I166" s="156"/>
      <c r="J166" s="156"/>
    </row>
    <row r="167" spans="3:10" x14ac:dyDescent="0.25">
      <c r="C167" s="156"/>
      <c r="D167" s="156"/>
      <c r="E167" s="156"/>
      <c r="G167" s="156"/>
      <c r="H167" s="156"/>
      <c r="I167" s="156"/>
      <c r="J167" s="156"/>
    </row>
    <row r="168" spans="3:10" x14ac:dyDescent="0.25">
      <c r="C168" s="156"/>
      <c r="D168" s="156"/>
      <c r="E168" s="156"/>
      <c r="G168" s="156"/>
      <c r="H168" s="156"/>
      <c r="I168" s="156"/>
      <c r="J168" s="156"/>
    </row>
    <row r="169" spans="3:10" x14ac:dyDescent="0.25">
      <c r="C169" s="156"/>
      <c r="D169" s="156"/>
      <c r="E169" s="156"/>
      <c r="G169" s="156"/>
      <c r="H169" s="156"/>
      <c r="I169" s="156"/>
      <c r="J169" s="156"/>
    </row>
    <row r="170" spans="3:10" x14ac:dyDescent="0.25">
      <c r="C170" s="156"/>
      <c r="D170" s="156"/>
      <c r="E170" s="156"/>
      <c r="G170" s="156"/>
      <c r="H170" s="156"/>
      <c r="I170" s="156"/>
      <c r="J170" s="156"/>
    </row>
    <row r="171" spans="3:10" x14ac:dyDescent="0.25">
      <c r="C171" s="156"/>
      <c r="D171" s="156"/>
      <c r="E171" s="156"/>
      <c r="G171" s="156"/>
      <c r="H171" s="156"/>
      <c r="I171" s="156"/>
      <c r="J171" s="156"/>
    </row>
    <row r="172" spans="3:10" x14ac:dyDescent="0.25">
      <c r="C172" s="156"/>
      <c r="D172" s="156"/>
      <c r="E172" s="156"/>
      <c r="G172" s="156"/>
      <c r="H172" s="156"/>
      <c r="I172" s="156"/>
      <c r="J172" s="156"/>
    </row>
    <row r="173" spans="3:10" x14ac:dyDescent="0.25">
      <c r="C173" s="156"/>
      <c r="D173" s="156"/>
      <c r="E173" s="156"/>
      <c r="G173" s="156"/>
      <c r="H173" s="156"/>
      <c r="I173" s="156"/>
      <c r="J173" s="156"/>
    </row>
    <row r="174" spans="3:10" x14ac:dyDescent="0.25">
      <c r="C174" s="156"/>
      <c r="D174" s="156"/>
      <c r="E174" s="156"/>
      <c r="G174" s="156"/>
      <c r="H174" s="156"/>
      <c r="I174" s="156"/>
      <c r="J174" s="156"/>
    </row>
    <row r="175" spans="3:10" x14ac:dyDescent="0.25">
      <c r="C175" s="156"/>
      <c r="D175" s="156"/>
      <c r="E175" s="156"/>
      <c r="G175" s="156"/>
      <c r="H175" s="156"/>
      <c r="I175" s="156"/>
      <c r="J175" s="156"/>
    </row>
    <row r="176" spans="3:10" x14ac:dyDescent="0.25">
      <c r="C176" s="156"/>
      <c r="D176" s="156"/>
      <c r="E176" s="156"/>
      <c r="G176" s="156"/>
      <c r="H176" s="156"/>
      <c r="I176" s="156"/>
      <c r="J176" s="156"/>
    </row>
    <row r="177" spans="3:10" x14ac:dyDescent="0.25">
      <c r="C177" s="156"/>
      <c r="D177" s="156"/>
      <c r="E177" s="156"/>
      <c r="G177" s="156"/>
      <c r="H177" s="156"/>
      <c r="I177" s="156"/>
      <c r="J177" s="156"/>
    </row>
    <row r="178" spans="3:10" x14ac:dyDescent="0.25">
      <c r="C178" s="156"/>
      <c r="D178" s="156"/>
      <c r="E178" s="156"/>
      <c r="G178" s="156"/>
      <c r="H178" s="156"/>
      <c r="I178" s="156"/>
      <c r="J178" s="156"/>
    </row>
    <row r="179" spans="3:10" x14ac:dyDescent="0.25">
      <c r="C179" s="156"/>
      <c r="D179" s="156"/>
      <c r="E179" s="156"/>
      <c r="G179" s="156"/>
      <c r="H179" s="156"/>
      <c r="I179" s="156"/>
      <c r="J179" s="156"/>
    </row>
    <row r="180" spans="3:10" x14ac:dyDescent="0.25">
      <c r="C180" s="156"/>
      <c r="D180" s="156"/>
      <c r="E180" s="156"/>
      <c r="G180" s="156"/>
      <c r="H180" s="156"/>
      <c r="I180" s="156"/>
      <c r="J180" s="156"/>
    </row>
    <row r="181" spans="3:10" x14ac:dyDescent="0.25">
      <c r="C181" s="156"/>
      <c r="D181" s="156"/>
      <c r="E181" s="156"/>
      <c r="G181" s="156"/>
      <c r="H181" s="156"/>
      <c r="I181" s="156"/>
      <c r="J181" s="156"/>
    </row>
    <row r="182" spans="3:10" x14ac:dyDescent="0.25">
      <c r="C182" s="156"/>
      <c r="D182" s="156"/>
      <c r="E182" s="156"/>
      <c r="G182" s="156"/>
      <c r="H182" s="156"/>
      <c r="I182" s="156"/>
      <c r="J182" s="156"/>
    </row>
    <row r="183" spans="3:10" x14ac:dyDescent="0.25">
      <c r="C183" s="156"/>
      <c r="D183" s="156"/>
      <c r="E183" s="156"/>
      <c r="G183" s="156"/>
      <c r="H183" s="156"/>
      <c r="I183" s="156"/>
      <c r="J183" s="156"/>
    </row>
    <row r="184" spans="3:10" x14ac:dyDescent="0.25">
      <c r="C184" s="156"/>
      <c r="D184" s="156"/>
      <c r="E184" s="156"/>
      <c r="G184" s="156"/>
      <c r="H184" s="156"/>
      <c r="I184" s="156"/>
      <c r="J184" s="156"/>
    </row>
    <row r="185" spans="3:10" x14ac:dyDescent="0.25">
      <c r="C185" s="156"/>
      <c r="D185" s="156"/>
      <c r="E185" s="156"/>
      <c r="G185" s="156"/>
      <c r="H185" s="156"/>
      <c r="I185" s="156"/>
      <c r="J185" s="156"/>
    </row>
    <row r="186" spans="3:10" x14ac:dyDescent="0.25">
      <c r="C186" s="156"/>
      <c r="D186" s="156"/>
      <c r="E186" s="156"/>
      <c r="G186" s="156"/>
      <c r="H186" s="156"/>
      <c r="I186" s="156"/>
      <c r="J186" s="156"/>
    </row>
    <row r="187" spans="3:10" x14ac:dyDescent="0.25">
      <c r="C187" s="156"/>
      <c r="D187" s="156"/>
      <c r="E187" s="156"/>
      <c r="G187" s="156"/>
      <c r="H187" s="156"/>
      <c r="I187" s="156"/>
      <c r="J187" s="156"/>
    </row>
    <row r="188" spans="3:10" x14ac:dyDescent="0.25">
      <c r="C188" s="156"/>
      <c r="D188" s="156"/>
      <c r="E188" s="156"/>
      <c r="G188" s="156"/>
      <c r="H188" s="156"/>
      <c r="I188" s="156"/>
      <c r="J188" s="156"/>
    </row>
    <row r="189" spans="3:10" x14ac:dyDescent="0.25">
      <c r="C189" s="156"/>
      <c r="D189" s="156"/>
      <c r="E189" s="156"/>
      <c r="G189" s="156"/>
      <c r="H189" s="156"/>
      <c r="I189" s="156"/>
      <c r="J189" s="156"/>
    </row>
    <row r="190" spans="3:10" x14ac:dyDescent="0.25">
      <c r="C190" s="156"/>
      <c r="D190" s="156"/>
      <c r="E190" s="156"/>
      <c r="G190" s="156"/>
      <c r="H190" s="156"/>
      <c r="I190" s="156"/>
      <c r="J190" s="156"/>
    </row>
    <row r="191" spans="3:10" x14ac:dyDescent="0.25">
      <c r="C191" s="156"/>
      <c r="D191" s="156"/>
      <c r="E191" s="156"/>
      <c r="G191" s="156"/>
      <c r="H191" s="156"/>
      <c r="I191" s="156"/>
      <c r="J191" s="156"/>
    </row>
    <row r="192" spans="3:10" x14ac:dyDescent="0.25">
      <c r="C192" s="156"/>
      <c r="D192" s="156"/>
      <c r="E192" s="156"/>
      <c r="G192" s="156"/>
      <c r="H192" s="156"/>
      <c r="I192" s="156"/>
      <c r="J192" s="156"/>
    </row>
    <row r="193" spans="3:10" x14ac:dyDescent="0.25">
      <c r="C193" s="156"/>
      <c r="D193" s="156"/>
      <c r="E193" s="156"/>
      <c r="G193" s="156"/>
      <c r="H193" s="156"/>
      <c r="I193" s="156"/>
      <c r="J193" s="156"/>
    </row>
    <row r="194" spans="3:10" x14ac:dyDescent="0.25">
      <c r="C194" s="156"/>
      <c r="D194" s="156"/>
      <c r="E194" s="156"/>
      <c r="G194" s="156"/>
      <c r="H194" s="156"/>
      <c r="I194" s="156"/>
      <c r="J194" s="156"/>
    </row>
    <row r="195" spans="3:10" x14ac:dyDescent="0.25">
      <c r="C195" s="156"/>
      <c r="D195" s="156"/>
      <c r="E195" s="156"/>
      <c r="G195" s="156"/>
      <c r="H195" s="156"/>
      <c r="I195" s="156"/>
      <c r="J195" s="156"/>
    </row>
    <row r="196" spans="3:10" x14ac:dyDescent="0.25">
      <c r="C196" s="156"/>
      <c r="D196" s="156"/>
      <c r="E196" s="156"/>
      <c r="G196" s="156"/>
      <c r="H196" s="156"/>
      <c r="I196" s="156"/>
      <c r="J196" s="156"/>
    </row>
    <row r="197" spans="3:10" x14ac:dyDescent="0.25">
      <c r="C197" s="156"/>
      <c r="D197" s="156"/>
      <c r="E197" s="156"/>
      <c r="G197" s="156"/>
      <c r="H197" s="156"/>
      <c r="I197" s="156"/>
      <c r="J197" s="156"/>
    </row>
    <row r="198" spans="3:10" x14ac:dyDescent="0.25">
      <c r="C198" s="156"/>
      <c r="D198" s="156"/>
      <c r="E198" s="156"/>
      <c r="G198" s="156"/>
      <c r="H198" s="156"/>
      <c r="I198" s="156"/>
      <c r="J198" s="156"/>
    </row>
    <row r="199" spans="3:10" x14ac:dyDescent="0.25">
      <c r="C199" s="156"/>
      <c r="D199" s="156"/>
      <c r="E199" s="156"/>
      <c r="G199" s="156"/>
      <c r="H199" s="156"/>
      <c r="I199" s="156"/>
      <c r="J199" s="156"/>
    </row>
    <row r="200" spans="3:10" x14ac:dyDescent="0.25">
      <c r="C200" s="156"/>
      <c r="D200" s="156"/>
      <c r="E200" s="156"/>
      <c r="G200" s="156"/>
      <c r="H200" s="156"/>
      <c r="I200" s="156"/>
      <c r="J200" s="156"/>
    </row>
    <row r="201" spans="3:10" x14ac:dyDescent="0.25">
      <c r="C201" s="156"/>
      <c r="D201" s="156"/>
      <c r="E201" s="156"/>
      <c r="G201" s="156"/>
      <c r="H201" s="156"/>
      <c r="I201" s="156"/>
      <c r="J201" s="156"/>
    </row>
    <row r="202" spans="3:10" x14ac:dyDescent="0.25">
      <c r="C202" s="156"/>
      <c r="D202" s="156"/>
      <c r="E202" s="156"/>
      <c r="G202" s="156"/>
      <c r="H202" s="156"/>
      <c r="I202" s="156"/>
      <c r="J202" s="156"/>
    </row>
    <row r="203" spans="3:10" x14ac:dyDescent="0.25">
      <c r="C203" s="156"/>
      <c r="D203" s="156"/>
      <c r="E203" s="156"/>
      <c r="G203" s="156"/>
      <c r="H203" s="156"/>
      <c r="I203" s="156"/>
      <c r="J203" s="156"/>
    </row>
    <row r="204" spans="3:10" x14ac:dyDescent="0.25">
      <c r="C204" s="156"/>
      <c r="D204" s="156"/>
      <c r="E204" s="156"/>
      <c r="G204" s="156"/>
      <c r="H204" s="156"/>
      <c r="I204" s="156"/>
      <c r="J204" s="156"/>
    </row>
    <row r="205" spans="3:10" x14ac:dyDescent="0.25">
      <c r="C205" s="156"/>
      <c r="D205" s="156"/>
      <c r="E205" s="156"/>
      <c r="G205" s="156"/>
      <c r="H205" s="156"/>
      <c r="I205" s="156"/>
      <c r="J205" s="156"/>
    </row>
    <row r="206" spans="3:10" x14ac:dyDescent="0.25">
      <c r="C206" s="156"/>
      <c r="D206" s="156"/>
      <c r="E206" s="156"/>
      <c r="G206" s="156"/>
      <c r="H206" s="156"/>
      <c r="I206" s="156"/>
      <c r="J206" s="156"/>
    </row>
    <row r="207" spans="3:10" x14ac:dyDescent="0.25">
      <c r="C207" s="156"/>
      <c r="D207" s="156"/>
      <c r="E207" s="156"/>
      <c r="G207" s="156"/>
      <c r="H207" s="156"/>
      <c r="I207" s="156"/>
      <c r="J207" s="156"/>
    </row>
    <row r="208" spans="3:10" x14ac:dyDescent="0.25">
      <c r="C208" s="156"/>
      <c r="D208" s="156"/>
      <c r="E208" s="156"/>
      <c r="G208" s="156"/>
      <c r="H208" s="156"/>
      <c r="I208" s="156"/>
      <c r="J208" s="156"/>
    </row>
    <row r="209" spans="3:10" x14ac:dyDescent="0.25">
      <c r="C209" s="156"/>
      <c r="D209" s="156"/>
      <c r="E209" s="156"/>
      <c r="G209" s="156"/>
      <c r="H209" s="156"/>
      <c r="I209" s="156"/>
      <c r="J209" s="156"/>
    </row>
    <row r="210" spans="3:10" x14ac:dyDescent="0.25">
      <c r="C210" s="156"/>
      <c r="D210" s="156"/>
      <c r="E210" s="156"/>
      <c r="G210" s="156"/>
      <c r="H210" s="156"/>
      <c r="I210" s="156"/>
      <c r="J210" s="156"/>
    </row>
    <row r="211" spans="3:10" x14ac:dyDescent="0.25">
      <c r="C211" s="156"/>
      <c r="D211" s="156"/>
      <c r="E211" s="156"/>
      <c r="G211" s="156"/>
      <c r="H211" s="156"/>
      <c r="I211" s="156"/>
      <c r="J211" s="156"/>
    </row>
    <row r="212" spans="3:10" x14ac:dyDescent="0.25">
      <c r="C212" s="156"/>
      <c r="D212" s="156"/>
      <c r="E212" s="156"/>
      <c r="G212" s="156"/>
      <c r="H212" s="156"/>
      <c r="I212" s="156"/>
      <c r="J212" s="156"/>
    </row>
    <row r="213" spans="3:10" x14ac:dyDescent="0.25">
      <c r="C213" s="156"/>
      <c r="D213" s="156"/>
      <c r="E213" s="156"/>
      <c r="G213" s="156"/>
      <c r="H213" s="156"/>
      <c r="I213" s="156"/>
      <c r="J213" s="156"/>
    </row>
    <row r="214" spans="3:10" x14ac:dyDescent="0.25">
      <c r="C214" s="156"/>
      <c r="D214" s="156"/>
      <c r="E214" s="156"/>
      <c r="G214" s="156"/>
      <c r="H214" s="156"/>
      <c r="I214" s="156"/>
      <c r="J214" s="156"/>
    </row>
    <row r="215" spans="3:10" x14ac:dyDescent="0.25">
      <c r="C215" s="156"/>
      <c r="D215" s="156"/>
      <c r="E215" s="156"/>
      <c r="G215" s="156"/>
      <c r="H215" s="156"/>
      <c r="I215" s="156"/>
      <c r="J215" s="156"/>
    </row>
    <row r="216" spans="3:10" x14ac:dyDescent="0.25">
      <c r="C216" s="156"/>
      <c r="D216" s="156"/>
      <c r="E216" s="156"/>
      <c r="G216" s="156"/>
      <c r="H216" s="156"/>
      <c r="I216" s="156"/>
      <c r="J216" s="156"/>
    </row>
    <row r="217" spans="3:10" x14ac:dyDescent="0.25">
      <c r="C217" s="156"/>
      <c r="D217" s="156"/>
      <c r="E217" s="156"/>
      <c r="G217" s="156"/>
      <c r="H217" s="156"/>
      <c r="I217" s="156"/>
      <c r="J217" s="156"/>
    </row>
    <row r="218" spans="3:10" x14ac:dyDescent="0.25">
      <c r="C218" s="156"/>
      <c r="D218" s="156"/>
      <c r="E218" s="156"/>
      <c r="G218" s="156"/>
      <c r="H218" s="156"/>
      <c r="I218" s="156"/>
      <c r="J218" s="156"/>
    </row>
    <row r="219" spans="3:10" x14ac:dyDescent="0.25">
      <c r="C219" s="156"/>
      <c r="D219" s="156"/>
      <c r="E219" s="156"/>
      <c r="G219" s="156"/>
      <c r="H219" s="156"/>
      <c r="I219" s="156"/>
      <c r="J219" s="156"/>
    </row>
    <row r="220" spans="3:10" x14ac:dyDescent="0.25">
      <c r="C220" s="156"/>
      <c r="D220" s="156"/>
      <c r="E220" s="156"/>
      <c r="G220" s="156"/>
      <c r="H220" s="156"/>
      <c r="I220" s="156"/>
      <c r="J220" s="156"/>
    </row>
    <row r="221" spans="3:10" x14ac:dyDescent="0.25">
      <c r="C221" s="156"/>
      <c r="D221" s="156"/>
      <c r="E221" s="156"/>
      <c r="G221" s="156"/>
      <c r="H221" s="156"/>
      <c r="I221" s="156"/>
      <c r="J221" s="156"/>
    </row>
    <row r="222" spans="3:10" x14ac:dyDescent="0.25">
      <c r="C222" s="156"/>
      <c r="D222" s="156"/>
      <c r="E222" s="156"/>
      <c r="G222" s="156"/>
      <c r="H222" s="156"/>
      <c r="I222" s="156"/>
      <c r="J222" s="156"/>
    </row>
    <row r="223" spans="3:10" x14ac:dyDescent="0.25">
      <c r="C223" s="156"/>
      <c r="D223" s="156"/>
      <c r="E223" s="156"/>
      <c r="G223" s="156"/>
      <c r="H223" s="156"/>
      <c r="I223" s="156"/>
      <c r="J223" s="156"/>
    </row>
    <row r="224" spans="3:10" x14ac:dyDescent="0.25">
      <c r="C224" s="156"/>
      <c r="D224" s="156"/>
      <c r="E224" s="156"/>
      <c r="G224" s="156"/>
      <c r="H224" s="156"/>
      <c r="I224" s="156"/>
      <c r="J224" s="156"/>
    </row>
    <row r="225" spans="3:10" x14ac:dyDescent="0.25">
      <c r="C225" s="156"/>
      <c r="D225" s="156"/>
      <c r="E225" s="156"/>
      <c r="G225" s="156"/>
      <c r="H225" s="156"/>
      <c r="I225" s="156"/>
      <c r="J225" s="156"/>
    </row>
    <row r="226" spans="3:10" x14ac:dyDescent="0.25">
      <c r="C226" s="156"/>
      <c r="D226" s="156"/>
      <c r="E226" s="156"/>
      <c r="G226" s="156"/>
      <c r="H226" s="156"/>
      <c r="I226" s="156"/>
      <c r="J226" s="156"/>
    </row>
    <row r="227" spans="3:10" x14ac:dyDescent="0.25">
      <c r="C227" s="156"/>
      <c r="D227" s="156"/>
      <c r="E227" s="156"/>
      <c r="G227" s="156"/>
      <c r="H227" s="156"/>
      <c r="I227" s="156"/>
      <c r="J227" s="156"/>
    </row>
    <row r="228" spans="3:10" x14ac:dyDescent="0.25">
      <c r="C228" s="156"/>
      <c r="D228" s="156"/>
      <c r="E228" s="156"/>
      <c r="G228" s="156"/>
      <c r="H228" s="156"/>
      <c r="I228" s="156"/>
      <c r="J228" s="156"/>
    </row>
    <row r="229" spans="3:10" x14ac:dyDescent="0.25">
      <c r="C229" s="156"/>
      <c r="D229" s="156"/>
      <c r="E229" s="156"/>
      <c r="G229" s="156"/>
      <c r="H229" s="156"/>
      <c r="I229" s="156"/>
      <c r="J229" s="156"/>
    </row>
    <row r="230" spans="3:10" x14ac:dyDescent="0.25">
      <c r="C230" s="156"/>
      <c r="D230" s="156"/>
      <c r="E230" s="156"/>
      <c r="G230" s="156"/>
      <c r="H230" s="156"/>
      <c r="I230" s="156"/>
      <c r="J230" s="156"/>
    </row>
    <row r="231" spans="3:10" x14ac:dyDescent="0.25">
      <c r="C231" s="156"/>
      <c r="D231" s="156"/>
      <c r="E231" s="156"/>
      <c r="G231" s="156"/>
      <c r="H231" s="156"/>
      <c r="I231" s="156"/>
      <c r="J231" s="156"/>
    </row>
    <row r="232" spans="3:10" x14ac:dyDescent="0.25">
      <c r="C232" s="156"/>
      <c r="D232" s="156"/>
      <c r="E232" s="156"/>
      <c r="G232" s="156"/>
      <c r="H232" s="156"/>
      <c r="I232" s="156"/>
      <c r="J232" s="156"/>
    </row>
    <row r="233" spans="3:10" x14ac:dyDescent="0.25">
      <c r="C233" s="156"/>
      <c r="D233" s="156"/>
      <c r="E233" s="156"/>
      <c r="G233" s="156"/>
      <c r="H233" s="156"/>
      <c r="I233" s="156"/>
      <c r="J233" s="156"/>
    </row>
    <row r="234" spans="3:10" x14ac:dyDescent="0.25">
      <c r="C234" s="156"/>
      <c r="D234" s="156"/>
      <c r="E234" s="156"/>
      <c r="G234" s="156"/>
      <c r="H234" s="156"/>
      <c r="I234" s="156"/>
      <c r="J234" s="156"/>
    </row>
    <row r="235" spans="3:10" x14ac:dyDescent="0.25">
      <c r="C235" s="156"/>
      <c r="D235" s="156"/>
      <c r="E235" s="156"/>
      <c r="G235" s="156"/>
      <c r="H235" s="156"/>
      <c r="I235" s="156"/>
      <c r="J235" s="156"/>
    </row>
    <row r="236" spans="3:10" x14ac:dyDescent="0.25">
      <c r="C236" s="156"/>
      <c r="D236" s="156"/>
      <c r="E236" s="156"/>
      <c r="G236" s="156"/>
      <c r="H236" s="156"/>
      <c r="I236" s="156"/>
      <c r="J236" s="156"/>
    </row>
    <row r="237" spans="3:10" x14ac:dyDescent="0.25">
      <c r="C237" s="156"/>
      <c r="D237" s="156"/>
      <c r="E237" s="156"/>
      <c r="G237" s="156"/>
      <c r="H237" s="156"/>
      <c r="I237" s="156"/>
      <c r="J237" s="156"/>
    </row>
    <row r="238" spans="3:10" x14ac:dyDescent="0.25">
      <c r="C238" s="156"/>
      <c r="D238" s="156"/>
      <c r="E238" s="156"/>
      <c r="G238" s="156"/>
      <c r="H238" s="156"/>
      <c r="I238" s="156"/>
      <c r="J238" s="156"/>
    </row>
    <row r="239" spans="3:10" x14ac:dyDescent="0.25">
      <c r="C239" s="156"/>
      <c r="D239" s="156"/>
      <c r="E239" s="156"/>
      <c r="G239" s="156"/>
      <c r="H239" s="156"/>
      <c r="I239" s="156"/>
      <c r="J239" s="156"/>
    </row>
    <row r="240" spans="3:10" x14ac:dyDescent="0.25">
      <c r="C240" s="156"/>
      <c r="D240" s="156"/>
      <c r="E240" s="156"/>
      <c r="G240" s="156"/>
      <c r="H240" s="156"/>
      <c r="I240" s="156"/>
      <c r="J240" s="156"/>
    </row>
    <row r="241" spans="3:10" x14ac:dyDescent="0.25">
      <c r="C241" s="156"/>
      <c r="D241" s="156"/>
      <c r="E241" s="156"/>
      <c r="G241" s="156"/>
      <c r="H241" s="156"/>
      <c r="I241" s="156"/>
      <c r="J241" s="156"/>
    </row>
    <row r="242" spans="3:10" x14ac:dyDescent="0.25">
      <c r="C242" s="156"/>
      <c r="D242" s="156"/>
      <c r="E242" s="156"/>
      <c r="G242" s="156"/>
      <c r="H242" s="156"/>
      <c r="I242" s="156"/>
      <c r="J242" s="156"/>
    </row>
  </sheetData>
  <mergeCells count="15">
    <mergeCell ref="A1:M1"/>
    <mergeCell ref="G5:N5"/>
    <mergeCell ref="G6:N6"/>
    <mergeCell ref="G7:N7"/>
    <mergeCell ref="A19:O19"/>
    <mergeCell ref="K3:M3"/>
    <mergeCell ref="K4:M4"/>
    <mergeCell ref="K9:M9"/>
    <mergeCell ref="K11:M11"/>
    <mergeCell ref="K12:M12"/>
    <mergeCell ref="K13:M13"/>
    <mergeCell ref="K14:M14"/>
    <mergeCell ref="K16:M16"/>
    <mergeCell ref="G15:N15"/>
    <mergeCell ref="G18:N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232"/>
  <sheetViews>
    <sheetView topLeftCell="A13" zoomScale="70" zoomScaleNormal="70" workbookViewId="0">
      <selection activeCell="K13" sqref="K1:K1048576"/>
    </sheetView>
  </sheetViews>
  <sheetFormatPr defaultColWidth="13.42578125" defaultRowHeight="15" x14ac:dyDescent="0.25"/>
  <cols>
    <col min="1" max="1" width="4" style="156" bestFit="1" customWidth="1"/>
    <col min="2" max="2" width="25.7109375" style="156" bestFit="1" customWidth="1"/>
    <col min="3" max="3" width="24.85546875" style="179" customWidth="1"/>
    <col min="4" max="4" width="25.85546875" style="179" customWidth="1"/>
    <col min="5" max="5" width="21.85546875" style="179" customWidth="1"/>
    <col min="6" max="6" width="17.28515625" style="156" bestFit="1" customWidth="1"/>
    <col min="7" max="7" width="14.42578125" style="180" bestFit="1" customWidth="1"/>
    <col min="8" max="8" width="14.7109375" style="181" bestFit="1" customWidth="1"/>
    <col min="9" max="10" width="13.140625" style="181" bestFit="1" customWidth="1"/>
    <col min="11" max="11" width="16.7109375" style="182" customWidth="1"/>
    <col min="12" max="12" width="27.85546875" style="156" bestFit="1" customWidth="1"/>
    <col min="13" max="13" width="22.5703125" style="179" customWidth="1"/>
    <col min="14" max="14" width="39.28515625" style="156" customWidth="1"/>
    <col min="15" max="15" width="21" style="156" customWidth="1"/>
    <col min="16" max="16384" width="13.42578125" style="156"/>
  </cols>
  <sheetData>
    <row r="1" spans="1:18" ht="20.25" x14ac:dyDescent="0.25">
      <c r="A1" s="339" t="s">
        <v>887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191" t="s">
        <v>824</v>
      </c>
      <c r="O1" s="192">
        <v>43586</v>
      </c>
    </row>
    <row r="2" spans="1:18" ht="56.25" customHeight="1" x14ac:dyDescent="0.25">
      <c r="A2" s="157" t="s">
        <v>554</v>
      </c>
      <c r="B2" s="196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97" t="s">
        <v>888</v>
      </c>
      <c r="I2" s="198" t="s">
        <v>631</v>
      </c>
      <c r="J2" s="197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8" ht="60" customHeight="1" x14ac:dyDescent="0.25">
      <c r="A3" s="163">
        <v>1</v>
      </c>
      <c r="B3" s="163" t="s">
        <v>560</v>
      </c>
      <c r="C3" s="164" t="s">
        <v>540</v>
      </c>
      <c r="D3" s="164" t="s">
        <v>561</v>
      </c>
      <c r="E3" s="164" t="s">
        <v>889</v>
      </c>
      <c r="F3" s="165" t="s">
        <v>542</v>
      </c>
      <c r="G3" s="166">
        <v>3500</v>
      </c>
      <c r="H3" s="199">
        <v>5972.75</v>
      </c>
      <c r="I3" s="199">
        <f>759.57+222.67</f>
        <v>982.24</v>
      </c>
      <c r="J3" s="199">
        <f>MIN(H3+I3,G3)</f>
        <v>3500</v>
      </c>
      <c r="K3" s="336" t="s">
        <v>562</v>
      </c>
      <c r="L3" s="337"/>
      <c r="M3" s="338"/>
      <c r="N3" s="164" t="s">
        <v>890</v>
      </c>
      <c r="O3" s="168" t="s">
        <v>891</v>
      </c>
      <c r="Q3" s="181"/>
      <c r="R3" s="181"/>
    </row>
    <row r="4" spans="1:18" ht="60" customHeight="1" x14ac:dyDescent="0.25">
      <c r="A4" s="163">
        <v>2</v>
      </c>
      <c r="B4" s="163" t="s">
        <v>563</v>
      </c>
      <c r="C4" s="164" t="s">
        <v>540</v>
      </c>
      <c r="D4" s="164" t="s">
        <v>561</v>
      </c>
      <c r="E4" s="164" t="s">
        <v>670</v>
      </c>
      <c r="F4" s="165" t="s">
        <v>544</v>
      </c>
      <c r="G4" s="166">
        <v>18</v>
      </c>
      <c r="H4" s="199">
        <v>1724.19</v>
      </c>
      <c r="I4" s="199">
        <f>737.39+222.67</f>
        <v>960.06</v>
      </c>
      <c r="J4" s="199">
        <f t="shared" ref="J4:J14" si="0">MIN(H4+I4,G4)</f>
        <v>18</v>
      </c>
      <c r="K4" s="336" t="s">
        <v>562</v>
      </c>
      <c r="L4" s="337"/>
      <c r="M4" s="338"/>
      <c r="N4" s="164" t="s">
        <v>890</v>
      </c>
      <c r="O4" s="168" t="s">
        <v>891</v>
      </c>
      <c r="Q4" s="181"/>
      <c r="R4" s="181"/>
    </row>
    <row r="5" spans="1:18" ht="60" customHeight="1" x14ac:dyDescent="0.25">
      <c r="A5" s="163">
        <v>3</v>
      </c>
      <c r="B5" s="163" t="s">
        <v>841</v>
      </c>
      <c r="C5" s="164" t="s">
        <v>842</v>
      </c>
      <c r="D5" s="164" t="s">
        <v>843</v>
      </c>
      <c r="E5" s="164" t="s">
        <v>892</v>
      </c>
      <c r="F5" s="163" t="s">
        <v>845</v>
      </c>
      <c r="G5" s="166">
        <v>5960</v>
      </c>
      <c r="H5" s="199">
        <v>1584.01</v>
      </c>
      <c r="I5" s="199">
        <f>1963.14+56.8</f>
        <v>2019.94</v>
      </c>
      <c r="J5" s="199">
        <f t="shared" si="0"/>
        <v>3603.95</v>
      </c>
      <c r="K5" s="336" t="s">
        <v>562</v>
      </c>
      <c r="L5" s="337"/>
      <c r="M5" s="338"/>
      <c r="N5" s="164" t="s">
        <v>893</v>
      </c>
      <c r="O5" s="168" t="s">
        <v>891</v>
      </c>
      <c r="Q5" s="181"/>
      <c r="R5" s="181"/>
    </row>
    <row r="6" spans="1:18" ht="60" customHeight="1" x14ac:dyDescent="0.25">
      <c r="A6" s="163">
        <v>4</v>
      </c>
      <c r="B6" s="163" t="s">
        <v>851</v>
      </c>
      <c r="C6" s="164" t="s">
        <v>852</v>
      </c>
      <c r="D6" s="164" t="s">
        <v>853</v>
      </c>
      <c r="E6" s="164" t="s">
        <v>854</v>
      </c>
      <c r="F6" s="163" t="s">
        <v>855</v>
      </c>
      <c r="G6" s="166">
        <v>3570</v>
      </c>
      <c r="H6" s="199">
        <v>509.44</v>
      </c>
      <c r="I6" s="199">
        <f>1076.32+56.8</f>
        <v>1133.1199999999999</v>
      </c>
      <c r="J6" s="199">
        <f t="shared" si="0"/>
        <v>1642.56</v>
      </c>
      <c r="K6" s="336" t="s">
        <v>562</v>
      </c>
      <c r="L6" s="337"/>
      <c r="M6" s="338"/>
      <c r="N6" s="164" t="s">
        <v>893</v>
      </c>
      <c r="O6" s="168" t="s">
        <v>891</v>
      </c>
      <c r="Q6" s="181"/>
      <c r="R6" s="181"/>
    </row>
    <row r="7" spans="1:18" ht="60" customHeight="1" x14ac:dyDescent="0.25">
      <c r="A7" s="163">
        <v>5</v>
      </c>
      <c r="B7" s="163" t="s">
        <v>856</v>
      </c>
      <c r="C7" s="164" t="s">
        <v>857</v>
      </c>
      <c r="D7" s="164" t="s">
        <v>858</v>
      </c>
      <c r="E7" s="164" t="s">
        <v>859</v>
      </c>
      <c r="F7" s="163" t="s">
        <v>860</v>
      </c>
      <c r="G7" s="166">
        <v>3490</v>
      </c>
      <c r="H7" s="199">
        <v>742.73</v>
      </c>
      <c r="I7" s="199">
        <f>1046.33+56.79</f>
        <v>1103.1199999999999</v>
      </c>
      <c r="J7" s="199">
        <f t="shared" si="0"/>
        <v>1845.85</v>
      </c>
      <c r="K7" s="336" t="s">
        <v>562</v>
      </c>
      <c r="L7" s="337"/>
      <c r="M7" s="338"/>
      <c r="N7" s="164" t="s">
        <v>893</v>
      </c>
      <c r="O7" s="168" t="s">
        <v>891</v>
      </c>
      <c r="Q7" s="181"/>
      <c r="R7" s="181"/>
    </row>
    <row r="8" spans="1:18" ht="60" customHeight="1" x14ac:dyDescent="0.25">
      <c r="A8" s="163">
        <v>6</v>
      </c>
      <c r="B8" s="163" t="s">
        <v>861</v>
      </c>
      <c r="C8" s="164" t="s">
        <v>862</v>
      </c>
      <c r="D8" s="164" t="s">
        <v>858</v>
      </c>
      <c r="E8" s="164" t="s">
        <v>863</v>
      </c>
      <c r="F8" s="163" t="s">
        <v>864</v>
      </c>
      <c r="G8" s="163">
        <v>2330</v>
      </c>
      <c r="H8" s="163">
        <v>528.89</v>
      </c>
      <c r="I8" s="199">
        <f>1046.33+56.79</f>
        <v>1103.1199999999999</v>
      </c>
      <c r="J8" s="199">
        <f t="shared" si="0"/>
        <v>1632.0099999999998</v>
      </c>
      <c r="K8" s="336" t="s">
        <v>562</v>
      </c>
      <c r="L8" s="337"/>
      <c r="M8" s="338"/>
      <c r="N8" s="164" t="s">
        <v>893</v>
      </c>
      <c r="O8" s="168" t="s">
        <v>891</v>
      </c>
      <c r="Q8" s="181"/>
      <c r="R8" s="181"/>
    </row>
    <row r="9" spans="1:18" ht="60" customHeight="1" x14ac:dyDescent="0.25">
      <c r="A9" s="163">
        <v>7</v>
      </c>
      <c r="B9" s="163" t="s">
        <v>865</v>
      </c>
      <c r="C9" s="164" t="s">
        <v>866</v>
      </c>
      <c r="D9" s="164" t="s">
        <v>867</v>
      </c>
      <c r="E9" s="164" t="s">
        <v>868</v>
      </c>
      <c r="F9" s="163" t="s">
        <v>869</v>
      </c>
      <c r="G9" s="166">
        <v>1890</v>
      </c>
      <c r="H9" s="199">
        <v>561.83000000000004</v>
      </c>
      <c r="I9" s="199">
        <f>1080.69+56.79</f>
        <v>1137.48</v>
      </c>
      <c r="J9" s="199">
        <f t="shared" si="0"/>
        <v>1699.31</v>
      </c>
      <c r="K9" s="166">
        <v>1</v>
      </c>
      <c r="L9" s="200" t="s">
        <v>943</v>
      </c>
      <c r="M9" s="105" t="s">
        <v>120</v>
      </c>
      <c r="N9" s="164" t="s">
        <v>893</v>
      </c>
      <c r="O9" s="168" t="s">
        <v>891</v>
      </c>
      <c r="Q9" s="181"/>
      <c r="R9" s="181"/>
    </row>
    <row r="10" spans="1:18" ht="60" customHeight="1" x14ac:dyDescent="0.25">
      <c r="A10" s="163">
        <v>8</v>
      </c>
      <c r="B10" s="163" t="s">
        <v>875</v>
      </c>
      <c r="C10" s="164" t="s">
        <v>871</v>
      </c>
      <c r="D10" s="164" t="s">
        <v>876</v>
      </c>
      <c r="E10" s="164" t="s">
        <v>877</v>
      </c>
      <c r="F10" s="163" t="s">
        <v>874</v>
      </c>
      <c r="G10" s="166">
        <v>2330</v>
      </c>
      <c r="H10" s="199">
        <v>274.48</v>
      </c>
      <c r="I10" s="199">
        <f>728.27+56.79</f>
        <v>785.06</v>
      </c>
      <c r="J10" s="199">
        <f t="shared" si="0"/>
        <v>1059.54</v>
      </c>
      <c r="K10" s="336" t="s">
        <v>562</v>
      </c>
      <c r="L10" s="337"/>
      <c r="M10" s="338"/>
      <c r="N10" s="164" t="s">
        <v>893</v>
      </c>
      <c r="O10" s="168" t="s">
        <v>891</v>
      </c>
      <c r="Q10" s="181"/>
      <c r="R10" s="181"/>
    </row>
    <row r="11" spans="1:18" ht="60" customHeight="1" x14ac:dyDescent="0.25">
      <c r="A11" s="163">
        <v>9</v>
      </c>
      <c r="B11" s="163" t="s">
        <v>894</v>
      </c>
      <c r="C11" s="164" t="s">
        <v>895</v>
      </c>
      <c r="D11" s="164" t="s">
        <v>896</v>
      </c>
      <c r="E11" s="164" t="s">
        <v>897</v>
      </c>
      <c r="F11" s="163" t="s">
        <v>898</v>
      </c>
      <c r="G11" s="166">
        <v>1890</v>
      </c>
      <c r="H11" s="199">
        <v>323.38</v>
      </c>
      <c r="I11" s="199">
        <f>2014.64+25.17</f>
        <v>2039.8100000000002</v>
      </c>
      <c r="J11" s="199">
        <f t="shared" si="0"/>
        <v>1890</v>
      </c>
      <c r="K11" s="336" t="s">
        <v>562</v>
      </c>
      <c r="L11" s="337"/>
      <c r="M11" s="338"/>
      <c r="N11" s="164" t="s">
        <v>289</v>
      </c>
      <c r="O11" s="168" t="s">
        <v>891</v>
      </c>
      <c r="Q11" s="181"/>
      <c r="R11" s="181"/>
    </row>
    <row r="12" spans="1:18" ht="60" customHeight="1" x14ac:dyDescent="0.25">
      <c r="A12" s="163">
        <v>10</v>
      </c>
      <c r="B12" s="163" t="s">
        <v>899</v>
      </c>
      <c r="C12" s="164" t="s">
        <v>900</v>
      </c>
      <c r="D12" s="164" t="s">
        <v>901</v>
      </c>
      <c r="E12" s="164" t="s">
        <v>902</v>
      </c>
      <c r="F12" s="163" t="s">
        <v>903</v>
      </c>
      <c r="G12" s="166">
        <v>2000</v>
      </c>
      <c r="H12" s="199">
        <v>720.47</v>
      </c>
      <c r="I12" s="199">
        <f>1084.27+25.17</f>
        <v>1109.44</v>
      </c>
      <c r="J12" s="199">
        <f t="shared" si="0"/>
        <v>1829.91</v>
      </c>
      <c r="K12" s="336" t="s">
        <v>562</v>
      </c>
      <c r="L12" s="337"/>
      <c r="M12" s="338"/>
      <c r="N12" s="164" t="s">
        <v>289</v>
      </c>
      <c r="O12" s="168" t="s">
        <v>891</v>
      </c>
      <c r="Q12" s="181"/>
      <c r="R12" s="181"/>
    </row>
    <row r="13" spans="1:18" ht="56.25" customHeight="1" x14ac:dyDescent="0.25">
      <c r="A13" s="163">
        <v>11</v>
      </c>
      <c r="B13" s="163" t="s">
        <v>904</v>
      </c>
      <c r="C13" s="164" t="s">
        <v>905</v>
      </c>
      <c r="D13" s="164" t="s">
        <v>906</v>
      </c>
      <c r="E13" s="164" t="s">
        <v>907</v>
      </c>
      <c r="F13" s="163" t="s">
        <v>908</v>
      </c>
      <c r="G13" s="166">
        <v>60340</v>
      </c>
      <c r="H13" s="199">
        <v>7588.87</v>
      </c>
      <c r="I13" s="199">
        <f>1384.96+25.17</f>
        <v>1410.13</v>
      </c>
      <c r="J13" s="199">
        <f t="shared" si="0"/>
        <v>8999</v>
      </c>
      <c r="K13" s="166">
        <v>4100</v>
      </c>
      <c r="L13" s="200" t="s">
        <v>941</v>
      </c>
      <c r="M13" s="164" t="s">
        <v>942</v>
      </c>
      <c r="N13" s="164" t="s">
        <v>289</v>
      </c>
      <c r="O13" s="168" t="s">
        <v>891</v>
      </c>
      <c r="P13" s="171"/>
      <c r="Q13" s="181"/>
      <c r="R13" s="181"/>
    </row>
    <row r="14" spans="1:18" ht="56.25" customHeight="1" x14ac:dyDescent="0.25">
      <c r="A14" s="163">
        <v>12</v>
      </c>
      <c r="B14" s="163" t="s">
        <v>909</v>
      </c>
      <c r="C14" s="164" t="s">
        <v>910</v>
      </c>
      <c r="D14" s="164" t="s">
        <v>911</v>
      </c>
      <c r="E14" s="164" t="s">
        <v>912</v>
      </c>
      <c r="F14" s="163" t="s">
        <v>913</v>
      </c>
      <c r="G14" s="166">
        <v>2230</v>
      </c>
      <c r="H14" s="199">
        <v>286.02</v>
      </c>
      <c r="I14" s="199">
        <f>1986.72+25.17</f>
        <v>2011.89</v>
      </c>
      <c r="J14" s="199">
        <f t="shared" si="0"/>
        <v>2230</v>
      </c>
      <c r="K14" s="166">
        <v>1</v>
      </c>
      <c r="L14" s="200" t="s">
        <v>944</v>
      </c>
      <c r="M14" s="105" t="s">
        <v>120</v>
      </c>
      <c r="N14" s="164" t="s">
        <v>289</v>
      </c>
      <c r="O14" s="168" t="s">
        <v>891</v>
      </c>
      <c r="P14" s="171"/>
      <c r="Q14" s="181"/>
      <c r="R14" s="181"/>
    </row>
    <row r="15" spans="1:18" ht="56.25" customHeight="1" x14ac:dyDescent="0.25">
      <c r="A15" s="163">
        <v>13</v>
      </c>
      <c r="B15" s="163" t="s">
        <v>914</v>
      </c>
      <c r="C15" s="164" t="s">
        <v>915</v>
      </c>
      <c r="D15" s="164" t="s">
        <v>916</v>
      </c>
      <c r="E15" s="164" t="s">
        <v>917</v>
      </c>
      <c r="F15" s="163" t="s">
        <v>918</v>
      </c>
      <c r="G15" s="166">
        <v>1680</v>
      </c>
      <c r="H15" s="199">
        <v>247.13</v>
      </c>
      <c r="I15" s="199">
        <f>851.62+25.16</f>
        <v>876.78</v>
      </c>
      <c r="J15" s="199">
        <f t="shared" ref="J15:J20" si="1">MIN(H15+I15,G15)</f>
        <v>1123.9099999999999</v>
      </c>
      <c r="K15" s="203">
        <v>1</v>
      </c>
      <c r="L15" s="200" t="s">
        <v>945</v>
      </c>
      <c r="M15" s="105" t="s">
        <v>120</v>
      </c>
      <c r="N15" s="164" t="s">
        <v>289</v>
      </c>
      <c r="O15" s="168" t="s">
        <v>891</v>
      </c>
      <c r="P15" s="171"/>
      <c r="Q15" s="181"/>
      <c r="R15" s="181"/>
    </row>
    <row r="16" spans="1:18" ht="56.25" customHeight="1" x14ac:dyDescent="0.25">
      <c r="A16" s="163">
        <v>14</v>
      </c>
      <c r="B16" s="163" t="s">
        <v>919</v>
      </c>
      <c r="C16" s="164" t="s">
        <v>915</v>
      </c>
      <c r="D16" s="164" t="s">
        <v>916</v>
      </c>
      <c r="E16" s="169" t="s">
        <v>920</v>
      </c>
      <c r="F16" s="163" t="s">
        <v>918</v>
      </c>
      <c r="G16" s="166">
        <v>4750</v>
      </c>
      <c r="H16" s="199">
        <v>448.27</v>
      </c>
      <c r="I16" s="199">
        <f>851.61+25.16</f>
        <v>876.77</v>
      </c>
      <c r="J16" s="199">
        <f t="shared" si="1"/>
        <v>1325.04</v>
      </c>
      <c r="K16" s="203">
        <v>1</v>
      </c>
      <c r="L16" s="200" t="s">
        <v>945</v>
      </c>
      <c r="M16" s="105" t="s">
        <v>120</v>
      </c>
      <c r="N16" s="164" t="s">
        <v>289</v>
      </c>
      <c r="O16" s="168" t="s">
        <v>891</v>
      </c>
      <c r="P16" s="171"/>
      <c r="Q16" s="181"/>
      <c r="R16" s="181"/>
    </row>
    <row r="17" spans="1:18" ht="56.25" customHeight="1" x14ac:dyDescent="0.25">
      <c r="A17" s="163">
        <v>15</v>
      </c>
      <c r="B17" s="163" t="s">
        <v>921</v>
      </c>
      <c r="C17" s="164" t="s">
        <v>922</v>
      </c>
      <c r="D17" s="164" t="s">
        <v>923</v>
      </c>
      <c r="E17" s="169" t="s">
        <v>924</v>
      </c>
      <c r="F17" s="163" t="s">
        <v>925</v>
      </c>
      <c r="G17" s="166">
        <v>15140</v>
      </c>
      <c r="H17" s="199">
        <v>1208.6199999999999</v>
      </c>
      <c r="I17" s="199">
        <f>1358.48+25.16</f>
        <v>1383.64</v>
      </c>
      <c r="J17" s="199">
        <f t="shared" si="1"/>
        <v>2592.2600000000002</v>
      </c>
      <c r="K17" s="203">
        <v>100</v>
      </c>
      <c r="L17" s="200" t="s">
        <v>942</v>
      </c>
      <c r="M17" s="169" t="s">
        <v>946</v>
      </c>
      <c r="N17" s="164" t="s">
        <v>289</v>
      </c>
      <c r="O17" s="168" t="s">
        <v>891</v>
      </c>
      <c r="P17" s="171"/>
      <c r="Q17" s="181"/>
      <c r="R17" s="181"/>
    </row>
    <row r="18" spans="1:18" ht="56.25" customHeight="1" x14ac:dyDescent="0.25">
      <c r="A18" s="163">
        <v>16</v>
      </c>
      <c r="B18" s="163" t="s">
        <v>926</v>
      </c>
      <c r="C18" s="164" t="s">
        <v>927</v>
      </c>
      <c r="D18" s="164" t="s">
        <v>928</v>
      </c>
      <c r="E18" s="169" t="s">
        <v>929</v>
      </c>
      <c r="F18" s="163" t="s">
        <v>930</v>
      </c>
      <c r="G18" s="166">
        <v>2330</v>
      </c>
      <c r="H18" s="199">
        <v>197.64</v>
      </c>
      <c r="I18" s="199">
        <f>1041.56+25.16</f>
        <v>1066.72</v>
      </c>
      <c r="J18" s="199">
        <f t="shared" si="1"/>
        <v>1264.3600000000001</v>
      </c>
      <c r="K18" s="336" t="s">
        <v>562</v>
      </c>
      <c r="L18" s="337"/>
      <c r="M18" s="338"/>
      <c r="N18" s="164" t="s">
        <v>289</v>
      </c>
      <c r="O18" s="168" t="s">
        <v>891</v>
      </c>
      <c r="P18" s="171"/>
      <c r="Q18" s="181"/>
      <c r="R18" s="181"/>
    </row>
    <row r="19" spans="1:18" ht="56.25" customHeight="1" x14ac:dyDescent="0.25">
      <c r="A19" s="163">
        <v>17</v>
      </c>
      <c r="B19" s="163" t="s">
        <v>931</v>
      </c>
      <c r="C19" s="164" t="s">
        <v>932</v>
      </c>
      <c r="D19" s="164" t="s">
        <v>933</v>
      </c>
      <c r="E19" s="164" t="s">
        <v>934</v>
      </c>
      <c r="F19" s="163" t="s">
        <v>935</v>
      </c>
      <c r="G19" s="166">
        <v>78530</v>
      </c>
      <c r="H19" s="190">
        <v>11344.22</v>
      </c>
      <c r="I19" s="199">
        <f>1408.98+25.16</f>
        <v>1434.14</v>
      </c>
      <c r="J19" s="199">
        <f t="shared" si="1"/>
        <v>12778.359999999999</v>
      </c>
      <c r="K19" s="203">
        <v>6000</v>
      </c>
      <c r="L19" s="200" t="s">
        <v>947</v>
      </c>
      <c r="M19" s="199" t="s">
        <v>942</v>
      </c>
      <c r="N19" s="164" t="s">
        <v>289</v>
      </c>
      <c r="O19" s="168" t="s">
        <v>891</v>
      </c>
      <c r="P19" s="171"/>
      <c r="Q19" s="181"/>
      <c r="R19" s="181"/>
    </row>
    <row r="20" spans="1:18" ht="56.25" customHeight="1" x14ac:dyDescent="0.25">
      <c r="A20" s="163">
        <v>18</v>
      </c>
      <c r="B20" s="163" t="s">
        <v>936</v>
      </c>
      <c r="C20" s="164" t="s">
        <v>937</v>
      </c>
      <c r="D20" s="164" t="s">
        <v>938</v>
      </c>
      <c r="E20" s="164" t="s">
        <v>939</v>
      </c>
      <c r="F20" s="163" t="s">
        <v>940</v>
      </c>
      <c r="G20" s="166">
        <v>1920</v>
      </c>
      <c r="H20" s="190">
        <v>311.58999999999997</v>
      </c>
      <c r="I20" s="199">
        <f>533.6+25.16</f>
        <v>558.76</v>
      </c>
      <c r="J20" s="199">
        <f t="shared" si="1"/>
        <v>870.34999999999991</v>
      </c>
      <c r="K20" s="203">
        <v>1</v>
      </c>
      <c r="L20" s="200" t="s">
        <v>948</v>
      </c>
      <c r="M20" s="105" t="s">
        <v>120</v>
      </c>
      <c r="N20" s="164" t="s">
        <v>289</v>
      </c>
      <c r="O20" s="168" t="s">
        <v>891</v>
      </c>
      <c r="P20" s="171"/>
      <c r="Q20" s="181"/>
      <c r="R20" s="181"/>
    </row>
    <row r="21" spans="1:18" ht="56.25" customHeight="1" x14ac:dyDescent="0.25">
      <c r="A21" s="163">
        <v>19</v>
      </c>
      <c r="B21" s="163"/>
      <c r="C21" s="164"/>
      <c r="D21" s="164"/>
      <c r="E21" s="164"/>
      <c r="F21" s="163"/>
      <c r="G21" s="166"/>
      <c r="H21" s="190"/>
      <c r="I21" s="199"/>
      <c r="J21" s="199"/>
      <c r="K21" s="199"/>
      <c r="L21" s="199"/>
      <c r="M21" s="199"/>
      <c r="N21" s="164"/>
      <c r="O21" s="168"/>
      <c r="P21" s="171"/>
      <c r="Q21" s="181"/>
      <c r="R21" s="181"/>
    </row>
    <row r="22" spans="1:18" ht="56.25" customHeight="1" x14ac:dyDescent="0.25">
      <c r="A22" s="163">
        <v>20</v>
      </c>
      <c r="B22" s="163"/>
      <c r="C22" s="164"/>
      <c r="D22" s="164"/>
      <c r="E22" s="164"/>
      <c r="F22" s="163"/>
      <c r="G22" s="199"/>
      <c r="H22" s="199"/>
      <c r="I22" s="199"/>
      <c r="J22" s="199"/>
      <c r="K22" s="199"/>
      <c r="L22" s="199"/>
      <c r="M22" s="164"/>
      <c r="N22" s="163"/>
      <c r="O22" s="163"/>
      <c r="P22" s="171"/>
      <c r="Q22" s="181"/>
      <c r="R22" s="181"/>
    </row>
    <row r="23" spans="1:18" ht="56.25" customHeight="1" x14ac:dyDescent="0.25">
      <c r="A23" s="163">
        <v>21</v>
      </c>
      <c r="B23" s="163"/>
      <c r="C23" s="164"/>
      <c r="D23" s="164"/>
      <c r="E23" s="164"/>
      <c r="F23" s="163"/>
      <c r="G23" s="166"/>
      <c r="H23" s="199"/>
      <c r="I23" s="199"/>
      <c r="J23" s="199"/>
      <c r="K23" s="199"/>
      <c r="L23" s="194"/>
      <c r="M23" s="194"/>
      <c r="N23" s="164"/>
      <c r="O23" s="168"/>
      <c r="Q23" s="181"/>
      <c r="R23" s="181"/>
    </row>
    <row r="24" spans="1:18" ht="56.25" customHeight="1" x14ac:dyDescent="0.25">
      <c r="A24" s="163">
        <v>22</v>
      </c>
      <c r="B24" s="163"/>
      <c r="C24" s="164"/>
      <c r="D24" s="164"/>
      <c r="E24" s="164"/>
      <c r="F24" s="163"/>
      <c r="G24" s="166"/>
      <c r="H24" s="199"/>
      <c r="I24" s="199"/>
      <c r="J24" s="199"/>
      <c r="K24" s="199"/>
      <c r="L24" s="194"/>
      <c r="M24" s="201"/>
      <c r="N24" s="164"/>
      <c r="O24" s="168"/>
      <c r="Q24" s="181"/>
      <c r="R24" s="181"/>
    </row>
    <row r="25" spans="1:18" ht="56.25" customHeight="1" x14ac:dyDescent="0.25">
      <c r="A25" s="163">
        <v>23</v>
      </c>
      <c r="B25" s="163"/>
      <c r="C25" s="164"/>
      <c r="D25" s="164"/>
      <c r="E25" s="169"/>
      <c r="F25" s="163"/>
      <c r="G25" s="166"/>
      <c r="H25" s="199"/>
      <c r="I25" s="199"/>
      <c r="J25" s="199"/>
      <c r="K25" s="199"/>
      <c r="L25" s="199"/>
      <c r="M25" s="202"/>
      <c r="N25" s="164"/>
      <c r="O25" s="168"/>
      <c r="Q25" s="181"/>
      <c r="R25" s="181"/>
    </row>
    <row r="26" spans="1:18" ht="56.25" customHeight="1" x14ac:dyDescent="0.25">
      <c r="A26" s="163">
        <v>24</v>
      </c>
      <c r="B26" s="163"/>
      <c r="C26" s="164"/>
      <c r="D26" s="164"/>
      <c r="E26" s="164"/>
      <c r="F26" s="163"/>
      <c r="G26" s="166"/>
      <c r="H26" s="199"/>
      <c r="I26" s="199"/>
      <c r="J26" s="199"/>
      <c r="K26" s="199"/>
      <c r="L26" s="199"/>
      <c r="M26" s="202"/>
      <c r="N26" s="164"/>
      <c r="O26" s="168"/>
      <c r="Q26" s="181"/>
      <c r="R26" s="181"/>
    </row>
    <row r="27" spans="1:18" ht="15.75" x14ac:dyDescent="0.25">
      <c r="A27" s="349" t="s">
        <v>645</v>
      </c>
      <c r="B27" s="349"/>
      <c r="C27" s="349"/>
      <c r="D27" s="349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171"/>
    </row>
    <row r="28" spans="1:18" ht="56.25" customHeight="1" x14ac:dyDescent="0.25">
      <c r="C28" s="156"/>
      <c r="D28" s="156"/>
      <c r="E28" s="156"/>
      <c r="G28" s="156"/>
      <c r="H28" s="156"/>
      <c r="I28" s="156"/>
      <c r="Q28" s="181"/>
    </row>
    <row r="29" spans="1:18" ht="56.25" customHeight="1" x14ac:dyDescent="0.25">
      <c r="C29" s="156"/>
      <c r="D29" s="156"/>
      <c r="E29" s="156"/>
      <c r="G29" s="156"/>
      <c r="H29" s="156"/>
      <c r="I29" s="156"/>
      <c r="J29" s="156"/>
    </row>
    <row r="30" spans="1:18" ht="56.25" customHeight="1" x14ac:dyDescent="0.25">
      <c r="C30" s="156"/>
      <c r="D30" s="156"/>
      <c r="E30" s="156"/>
      <c r="G30" s="193"/>
      <c r="H30" s="193"/>
      <c r="I30" s="193"/>
      <c r="J30" s="193"/>
      <c r="K30" s="193"/>
    </row>
    <row r="31" spans="1:18" ht="56.25" customHeight="1" x14ac:dyDescent="0.25">
      <c r="C31" s="156"/>
      <c r="D31" s="156"/>
      <c r="E31" s="156"/>
      <c r="G31" s="156"/>
      <c r="H31" s="156"/>
      <c r="I31" s="156"/>
      <c r="J31" s="156"/>
    </row>
    <row r="32" spans="1:18" ht="56.25" customHeight="1" x14ac:dyDescent="0.25">
      <c r="C32" s="156"/>
      <c r="D32" s="156"/>
      <c r="E32" s="156"/>
      <c r="G32" s="156"/>
      <c r="H32" s="156"/>
      <c r="I32" s="156"/>
      <c r="J32" s="156"/>
    </row>
    <row r="33" spans="3:10" ht="56.25" customHeight="1" x14ac:dyDescent="0.25">
      <c r="C33" s="156"/>
      <c r="D33" s="156"/>
      <c r="E33" s="156"/>
      <c r="G33" s="156"/>
      <c r="H33" s="156"/>
      <c r="I33" s="156"/>
      <c r="J33" s="156"/>
    </row>
    <row r="34" spans="3:10" ht="56.25" customHeight="1" x14ac:dyDescent="0.25">
      <c r="C34" s="156"/>
      <c r="D34" s="156"/>
      <c r="E34" s="156"/>
      <c r="G34" s="156"/>
      <c r="H34" s="156"/>
      <c r="I34" s="156"/>
      <c r="J34" s="156"/>
    </row>
    <row r="35" spans="3:10" ht="56.25" customHeight="1" x14ac:dyDescent="0.25">
      <c r="C35" s="156"/>
      <c r="D35" s="156"/>
      <c r="E35" s="156"/>
      <c r="G35" s="156"/>
      <c r="H35" s="156"/>
      <c r="I35" s="156"/>
      <c r="J35" s="156"/>
    </row>
    <row r="36" spans="3:10" ht="56.25" customHeight="1" x14ac:dyDescent="0.25">
      <c r="C36" s="156"/>
      <c r="D36" s="156"/>
      <c r="E36" s="156"/>
      <c r="G36" s="156"/>
      <c r="H36" s="156"/>
      <c r="I36" s="156"/>
      <c r="J36" s="156"/>
    </row>
    <row r="37" spans="3:10" ht="56.25" customHeight="1" x14ac:dyDescent="0.25">
      <c r="C37" s="156"/>
      <c r="D37" s="156"/>
      <c r="E37" s="156"/>
      <c r="G37" s="156"/>
      <c r="H37" s="156"/>
      <c r="I37" s="156"/>
      <c r="J37" s="156"/>
    </row>
    <row r="38" spans="3:10" ht="56.25" customHeight="1" x14ac:dyDescent="0.25">
      <c r="C38" s="156"/>
      <c r="D38" s="156"/>
      <c r="E38" s="156"/>
      <c r="G38" s="156"/>
      <c r="H38" s="156"/>
      <c r="I38" s="156"/>
      <c r="J38" s="156"/>
    </row>
    <row r="39" spans="3:10" ht="56.25" customHeight="1" x14ac:dyDescent="0.25">
      <c r="C39" s="156"/>
      <c r="D39" s="156"/>
      <c r="E39" s="156"/>
      <c r="G39" s="156"/>
      <c r="H39" s="156"/>
      <c r="I39" s="156"/>
      <c r="J39" s="156"/>
    </row>
    <row r="40" spans="3:10" ht="56.25" customHeight="1" x14ac:dyDescent="0.25">
      <c r="C40" s="156"/>
      <c r="D40" s="156"/>
      <c r="E40" s="156"/>
      <c r="G40" s="156"/>
      <c r="H40" s="156"/>
      <c r="I40" s="156"/>
      <c r="J40" s="156"/>
    </row>
    <row r="41" spans="3:10" ht="56.25" customHeight="1" x14ac:dyDescent="0.25">
      <c r="C41" s="156"/>
      <c r="D41" s="156"/>
      <c r="E41" s="156"/>
      <c r="G41" s="156"/>
      <c r="H41" s="156"/>
      <c r="I41" s="156"/>
      <c r="J41" s="156"/>
    </row>
    <row r="42" spans="3:10" ht="56.25" customHeight="1" x14ac:dyDescent="0.25">
      <c r="C42" s="156"/>
      <c r="D42" s="156"/>
      <c r="E42" s="156"/>
      <c r="G42" s="156"/>
      <c r="H42" s="156"/>
      <c r="I42" s="156"/>
      <c r="J42" s="156"/>
    </row>
    <row r="43" spans="3:10" ht="56.25" customHeight="1" x14ac:dyDescent="0.25">
      <c r="C43" s="156"/>
      <c r="D43" s="156"/>
      <c r="E43" s="156"/>
      <c r="G43" s="156"/>
      <c r="H43" s="156"/>
      <c r="I43" s="156"/>
      <c r="J43" s="156"/>
    </row>
    <row r="44" spans="3:10" ht="56.25" customHeight="1" x14ac:dyDescent="0.25">
      <c r="C44" s="156"/>
      <c r="D44" s="156"/>
      <c r="E44" s="156"/>
      <c r="G44" s="156"/>
      <c r="H44" s="156"/>
      <c r="I44" s="156"/>
      <c r="J44" s="156"/>
    </row>
    <row r="45" spans="3:10" ht="56.25" customHeight="1" x14ac:dyDescent="0.25">
      <c r="C45" s="156"/>
      <c r="D45" s="156"/>
      <c r="E45" s="156"/>
      <c r="G45" s="156"/>
      <c r="H45" s="156"/>
      <c r="I45" s="156"/>
      <c r="J45" s="156"/>
    </row>
    <row r="46" spans="3:10" ht="56.25" customHeight="1" x14ac:dyDescent="0.25">
      <c r="C46" s="156"/>
      <c r="D46" s="156"/>
      <c r="E46" s="156"/>
      <c r="G46" s="156"/>
      <c r="H46" s="156"/>
      <c r="I46" s="156"/>
      <c r="J46" s="156"/>
    </row>
    <row r="47" spans="3:10" ht="56.25" customHeight="1" x14ac:dyDescent="0.25">
      <c r="C47" s="156"/>
      <c r="D47" s="156"/>
      <c r="E47" s="156"/>
      <c r="G47" s="156"/>
      <c r="H47" s="156"/>
      <c r="I47" s="156"/>
      <c r="J47" s="156"/>
    </row>
    <row r="48" spans="3:10" ht="56.25" customHeight="1" x14ac:dyDescent="0.25">
      <c r="C48" s="156"/>
      <c r="D48" s="156"/>
      <c r="E48" s="156"/>
      <c r="G48" s="156"/>
      <c r="H48" s="156"/>
      <c r="I48" s="156"/>
      <c r="J48" s="156"/>
    </row>
    <row r="49" spans="3:10" ht="56.25" customHeight="1" x14ac:dyDescent="0.25">
      <c r="C49" s="156"/>
      <c r="D49" s="156"/>
      <c r="E49" s="156"/>
      <c r="G49" s="156"/>
      <c r="H49" s="156"/>
      <c r="I49" s="156"/>
      <c r="J49" s="156"/>
    </row>
    <row r="50" spans="3:10" ht="56.25" customHeight="1" x14ac:dyDescent="0.25">
      <c r="C50" s="156"/>
      <c r="D50" s="156"/>
      <c r="E50" s="156"/>
      <c r="G50" s="156"/>
      <c r="H50" s="156"/>
      <c r="I50" s="156"/>
      <c r="J50" s="156"/>
    </row>
    <row r="51" spans="3:10" ht="56.25" customHeight="1" x14ac:dyDescent="0.25">
      <c r="C51" s="156"/>
      <c r="D51" s="156"/>
      <c r="E51" s="156"/>
      <c r="G51" s="156"/>
      <c r="H51" s="156"/>
      <c r="I51" s="156"/>
      <c r="J51" s="156"/>
    </row>
    <row r="52" spans="3:10" ht="56.25" customHeight="1" x14ac:dyDescent="0.25">
      <c r="C52" s="156"/>
      <c r="D52" s="156"/>
      <c r="E52" s="156"/>
      <c r="G52" s="156"/>
      <c r="H52" s="156"/>
      <c r="I52" s="156"/>
      <c r="J52" s="156"/>
    </row>
    <row r="53" spans="3:10" ht="56.25" customHeight="1" x14ac:dyDescent="0.25">
      <c r="C53" s="156"/>
      <c r="D53" s="156"/>
      <c r="E53" s="156"/>
      <c r="G53" s="156"/>
      <c r="H53" s="156"/>
      <c r="I53" s="156"/>
      <c r="J53" s="156"/>
    </row>
    <row r="54" spans="3:10" ht="56.25" customHeight="1" x14ac:dyDescent="0.25">
      <c r="C54" s="156"/>
      <c r="D54" s="156"/>
      <c r="E54" s="156"/>
      <c r="G54" s="156"/>
      <c r="H54" s="156"/>
      <c r="I54" s="156"/>
      <c r="J54" s="156"/>
    </row>
    <row r="55" spans="3:10" ht="56.25" customHeight="1" x14ac:dyDescent="0.25">
      <c r="C55" s="156"/>
      <c r="D55" s="156"/>
      <c r="E55" s="156"/>
      <c r="G55" s="156"/>
      <c r="H55" s="156"/>
      <c r="I55" s="156"/>
      <c r="J55" s="156"/>
    </row>
    <row r="56" spans="3:10" ht="56.25" customHeight="1" x14ac:dyDescent="0.25">
      <c r="C56" s="156"/>
      <c r="D56" s="156"/>
      <c r="E56" s="156"/>
      <c r="G56" s="156"/>
      <c r="H56" s="156"/>
      <c r="I56" s="156"/>
      <c r="J56" s="156"/>
    </row>
    <row r="57" spans="3:10" ht="56.25" customHeight="1" x14ac:dyDescent="0.25">
      <c r="C57" s="156"/>
      <c r="D57" s="156"/>
      <c r="E57" s="156"/>
      <c r="G57" s="156"/>
      <c r="H57" s="156"/>
      <c r="I57" s="156"/>
      <c r="J57" s="156"/>
    </row>
    <row r="58" spans="3:10" ht="56.25" customHeight="1" x14ac:dyDescent="0.25">
      <c r="C58" s="156"/>
      <c r="D58" s="156"/>
      <c r="E58" s="156"/>
      <c r="G58" s="156"/>
      <c r="H58" s="156"/>
      <c r="I58" s="156"/>
      <c r="J58" s="156"/>
    </row>
    <row r="59" spans="3:10" ht="56.25" customHeight="1" x14ac:dyDescent="0.25">
      <c r="C59" s="156"/>
      <c r="D59" s="156"/>
      <c r="E59" s="156"/>
      <c r="G59" s="156"/>
      <c r="H59" s="156"/>
      <c r="I59" s="156"/>
      <c r="J59" s="156"/>
    </row>
    <row r="60" spans="3:10" ht="56.25" customHeight="1" x14ac:dyDescent="0.25">
      <c r="C60" s="156"/>
      <c r="D60" s="156"/>
      <c r="E60" s="156"/>
      <c r="G60" s="156"/>
      <c r="H60" s="156"/>
      <c r="I60" s="156"/>
      <c r="J60" s="156"/>
    </row>
    <row r="61" spans="3:10" ht="56.25" customHeight="1" x14ac:dyDescent="0.25">
      <c r="C61" s="156"/>
      <c r="D61" s="156"/>
      <c r="E61" s="156"/>
      <c r="G61" s="156"/>
      <c r="H61" s="156"/>
      <c r="I61" s="156"/>
      <c r="J61" s="156"/>
    </row>
    <row r="62" spans="3:10" ht="56.25" customHeight="1" x14ac:dyDescent="0.25">
      <c r="C62" s="156"/>
      <c r="D62" s="156"/>
      <c r="E62" s="156"/>
      <c r="G62" s="156"/>
      <c r="H62" s="156"/>
      <c r="I62" s="156"/>
      <c r="J62" s="156"/>
    </row>
    <row r="63" spans="3:10" ht="56.25" customHeight="1" x14ac:dyDescent="0.25">
      <c r="C63" s="156"/>
      <c r="D63" s="156"/>
      <c r="E63" s="156"/>
      <c r="G63" s="156"/>
      <c r="H63" s="156"/>
      <c r="I63" s="156"/>
      <c r="J63" s="156"/>
    </row>
    <row r="64" spans="3:10" ht="56.25" customHeight="1" x14ac:dyDescent="0.25">
      <c r="C64" s="156"/>
      <c r="D64" s="156"/>
      <c r="E64" s="156"/>
      <c r="G64" s="156"/>
      <c r="H64" s="156"/>
      <c r="I64" s="156"/>
      <c r="J64" s="156"/>
    </row>
    <row r="65" spans="3:10" ht="56.25" customHeight="1" x14ac:dyDescent="0.25">
      <c r="C65" s="156"/>
      <c r="D65" s="156"/>
      <c r="E65" s="156"/>
      <c r="G65" s="156"/>
      <c r="H65" s="156"/>
      <c r="I65" s="156"/>
      <c r="J65" s="156"/>
    </row>
    <row r="66" spans="3:10" ht="56.25" customHeight="1" x14ac:dyDescent="0.25">
      <c r="C66" s="156"/>
      <c r="D66" s="156"/>
      <c r="E66" s="156"/>
      <c r="G66" s="156"/>
      <c r="H66" s="156"/>
      <c r="I66" s="156"/>
      <c r="J66" s="156"/>
    </row>
    <row r="67" spans="3:10" ht="56.25" customHeight="1" x14ac:dyDescent="0.25">
      <c r="C67" s="156"/>
      <c r="D67" s="156"/>
      <c r="E67" s="156"/>
      <c r="G67" s="156"/>
      <c r="H67" s="156"/>
      <c r="I67" s="156"/>
      <c r="J67" s="156"/>
    </row>
    <row r="68" spans="3:10" ht="56.25" customHeight="1" x14ac:dyDescent="0.25">
      <c r="C68" s="156"/>
      <c r="D68" s="156"/>
      <c r="E68" s="156"/>
      <c r="G68" s="156"/>
      <c r="H68" s="156"/>
      <c r="I68" s="156"/>
      <c r="J68" s="156"/>
    </row>
    <row r="69" spans="3:10" ht="56.25" customHeight="1" x14ac:dyDescent="0.25">
      <c r="C69" s="156"/>
      <c r="D69" s="156"/>
      <c r="E69" s="156"/>
      <c r="G69" s="156"/>
      <c r="H69" s="156"/>
      <c r="I69" s="156"/>
      <c r="J69" s="156"/>
    </row>
    <row r="70" spans="3:10" ht="56.25" customHeight="1" x14ac:dyDescent="0.25">
      <c r="C70" s="156"/>
      <c r="D70" s="156"/>
      <c r="E70" s="156"/>
      <c r="G70" s="156"/>
      <c r="H70" s="156"/>
      <c r="I70" s="156"/>
      <c r="J70" s="156"/>
    </row>
    <row r="71" spans="3:10" ht="56.25" customHeight="1" x14ac:dyDescent="0.25">
      <c r="C71" s="156"/>
      <c r="D71" s="156"/>
      <c r="E71" s="156"/>
      <c r="G71" s="156"/>
      <c r="H71" s="156"/>
      <c r="I71" s="156"/>
      <c r="J71" s="156"/>
    </row>
    <row r="72" spans="3:10" ht="56.25" customHeight="1" x14ac:dyDescent="0.25">
      <c r="C72" s="156"/>
      <c r="D72" s="156"/>
      <c r="E72" s="156"/>
      <c r="G72" s="156"/>
      <c r="H72" s="156"/>
      <c r="I72" s="156"/>
      <c r="J72" s="156"/>
    </row>
    <row r="73" spans="3:10" ht="56.25" customHeight="1" x14ac:dyDescent="0.25">
      <c r="C73" s="156"/>
      <c r="D73" s="156"/>
      <c r="E73" s="156"/>
      <c r="G73" s="156"/>
      <c r="H73" s="156"/>
      <c r="I73" s="156"/>
      <c r="J73" s="156"/>
    </row>
    <row r="74" spans="3:10" ht="56.25" customHeight="1" x14ac:dyDescent="0.25">
      <c r="C74" s="156"/>
      <c r="D74" s="156"/>
      <c r="E74" s="156"/>
      <c r="G74" s="156"/>
      <c r="H74" s="156"/>
      <c r="I74" s="156"/>
      <c r="J74" s="156"/>
    </row>
    <row r="75" spans="3:10" ht="56.25" customHeight="1" x14ac:dyDescent="0.25">
      <c r="C75" s="156"/>
      <c r="D75" s="156"/>
      <c r="E75" s="156"/>
      <c r="G75" s="156"/>
      <c r="H75" s="156"/>
      <c r="I75" s="156"/>
      <c r="J75" s="156"/>
    </row>
    <row r="76" spans="3:10" ht="56.25" customHeight="1" x14ac:dyDescent="0.25">
      <c r="C76" s="156"/>
      <c r="D76" s="156"/>
      <c r="E76" s="156"/>
      <c r="G76" s="156"/>
      <c r="H76" s="156"/>
      <c r="I76" s="156"/>
      <c r="J76" s="156"/>
    </row>
    <row r="77" spans="3:10" ht="56.25" customHeight="1" x14ac:dyDescent="0.25">
      <c r="C77" s="156"/>
      <c r="D77" s="156"/>
      <c r="E77" s="156"/>
      <c r="G77" s="156"/>
      <c r="H77" s="156"/>
      <c r="I77" s="156"/>
      <c r="J77" s="156"/>
    </row>
    <row r="78" spans="3:10" ht="56.25" customHeight="1" x14ac:dyDescent="0.25">
      <c r="C78" s="156"/>
      <c r="D78" s="156"/>
      <c r="E78" s="156"/>
      <c r="G78" s="156"/>
      <c r="H78" s="156"/>
      <c r="I78" s="156"/>
      <c r="J78" s="156"/>
    </row>
    <row r="79" spans="3:10" ht="56.25" customHeight="1" x14ac:dyDescent="0.25">
      <c r="C79" s="156"/>
      <c r="D79" s="156"/>
      <c r="E79" s="156"/>
      <c r="G79" s="156"/>
      <c r="H79" s="156"/>
      <c r="I79" s="156"/>
      <c r="J79" s="156"/>
    </row>
    <row r="80" spans="3:10" ht="56.25" customHeight="1" x14ac:dyDescent="0.25">
      <c r="C80" s="156"/>
      <c r="D80" s="156"/>
      <c r="E80" s="156"/>
      <c r="G80" s="156"/>
      <c r="H80" s="156"/>
      <c r="I80" s="156"/>
      <c r="J80" s="156"/>
    </row>
    <row r="81" spans="3:10" ht="56.25" customHeight="1" x14ac:dyDescent="0.25">
      <c r="C81" s="156"/>
      <c r="D81" s="156"/>
      <c r="E81" s="156"/>
      <c r="G81" s="156"/>
      <c r="H81" s="156"/>
      <c r="I81" s="156"/>
      <c r="J81" s="156"/>
    </row>
    <row r="82" spans="3:10" ht="56.25" customHeight="1" x14ac:dyDescent="0.25">
      <c r="C82" s="156"/>
      <c r="D82" s="156"/>
      <c r="E82" s="156"/>
      <c r="G82" s="156"/>
      <c r="H82" s="156"/>
      <c r="I82" s="156"/>
      <c r="J82" s="156"/>
    </row>
    <row r="83" spans="3:10" ht="56.25" customHeight="1" x14ac:dyDescent="0.25">
      <c r="C83" s="156"/>
      <c r="D83" s="156"/>
      <c r="E83" s="156"/>
      <c r="G83" s="156"/>
      <c r="H83" s="156"/>
      <c r="I83" s="156"/>
      <c r="J83" s="156"/>
    </row>
    <row r="84" spans="3:10" ht="56.25" customHeight="1" x14ac:dyDescent="0.25">
      <c r="C84" s="156"/>
      <c r="D84" s="156"/>
      <c r="E84" s="156"/>
      <c r="G84" s="156"/>
      <c r="H84" s="156"/>
      <c r="I84" s="156"/>
      <c r="J84" s="156"/>
    </row>
    <row r="85" spans="3:10" ht="56.25" customHeight="1" x14ac:dyDescent="0.25">
      <c r="C85" s="156"/>
      <c r="D85" s="156"/>
      <c r="E85" s="156"/>
      <c r="G85" s="156"/>
      <c r="H85" s="156"/>
      <c r="I85" s="156"/>
      <c r="J85" s="156"/>
    </row>
    <row r="86" spans="3:10" ht="56.25" customHeight="1" x14ac:dyDescent="0.25">
      <c r="C86" s="156"/>
      <c r="D86" s="156"/>
      <c r="E86" s="156"/>
      <c r="G86" s="156"/>
      <c r="H86" s="156"/>
      <c r="I86" s="156"/>
      <c r="J86" s="156"/>
    </row>
    <row r="87" spans="3:10" ht="56.25" customHeight="1" x14ac:dyDescent="0.25">
      <c r="C87" s="156"/>
      <c r="D87" s="156"/>
      <c r="E87" s="156"/>
      <c r="G87" s="156"/>
      <c r="H87" s="156"/>
      <c r="I87" s="156"/>
      <c r="J87" s="156"/>
    </row>
    <row r="88" spans="3:10" ht="56.25" customHeight="1" x14ac:dyDescent="0.25">
      <c r="C88" s="156"/>
      <c r="D88" s="156"/>
      <c r="E88" s="156"/>
      <c r="G88" s="156"/>
      <c r="H88" s="156"/>
      <c r="I88" s="156"/>
      <c r="J88" s="156"/>
    </row>
    <row r="89" spans="3:10" ht="56.25" customHeight="1" x14ac:dyDescent="0.25">
      <c r="C89" s="156"/>
      <c r="D89" s="156"/>
      <c r="E89" s="156"/>
      <c r="G89" s="156"/>
      <c r="H89" s="156"/>
      <c r="I89" s="156"/>
      <c r="J89" s="156"/>
    </row>
    <row r="90" spans="3:10" ht="56.25" customHeight="1" x14ac:dyDescent="0.25">
      <c r="C90" s="156"/>
      <c r="D90" s="156"/>
      <c r="E90" s="156"/>
      <c r="G90" s="156"/>
      <c r="H90" s="156"/>
      <c r="I90" s="156"/>
      <c r="J90" s="156"/>
    </row>
    <row r="91" spans="3:10" ht="56.25" customHeight="1" x14ac:dyDescent="0.25">
      <c r="C91" s="156"/>
      <c r="D91" s="156"/>
      <c r="E91" s="156"/>
      <c r="G91" s="156"/>
      <c r="H91" s="156"/>
      <c r="I91" s="156"/>
      <c r="J91" s="156"/>
    </row>
    <row r="92" spans="3:10" ht="56.25" customHeight="1" x14ac:dyDescent="0.25">
      <c r="C92" s="156"/>
      <c r="D92" s="156"/>
      <c r="E92" s="156"/>
      <c r="G92" s="156"/>
      <c r="H92" s="156"/>
      <c r="I92" s="156"/>
      <c r="J92" s="156"/>
    </row>
    <row r="93" spans="3:10" ht="56.25" customHeight="1" x14ac:dyDescent="0.25">
      <c r="C93" s="156"/>
      <c r="D93" s="156"/>
      <c r="E93" s="156"/>
      <c r="G93" s="156"/>
      <c r="H93" s="156"/>
      <c r="I93" s="156"/>
      <c r="J93" s="156"/>
    </row>
    <row r="94" spans="3:10" ht="56.25" customHeight="1" x14ac:dyDescent="0.25">
      <c r="C94" s="156"/>
      <c r="D94" s="156"/>
      <c r="E94" s="156"/>
      <c r="G94" s="156"/>
      <c r="H94" s="156"/>
      <c r="I94" s="156"/>
      <c r="J94" s="156"/>
    </row>
    <row r="95" spans="3:10" ht="56.25" customHeight="1" x14ac:dyDescent="0.25">
      <c r="C95" s="156"/>
      <c r="D95" s="156"/>
      <c r="E95" s="156"/>
      <c r="G95" s="156"/>
      <c r="H95" s="156"/>
      <c r="I95" s="156"/>
      <c r="J95" s="156"/>
    </row>
    <row r="96" spans="3:10" ht="56.25" customHeight="1" x14ac:dyDescent="0.25">
      <c r="C96" s="156"/>
      <c r="D96" s="156"/>
      <c r="E96" s="156"/>
      <c r="G96" s="156"/>
      <c r="H96" s="156"/>
      <c r="I96" s="156"/>
      <c r="J96" s="156"/>
    </row>
    <row r="97" spans="3:10" ht="56.25" customHeight="1" x14ac:dyDescent="0.25">
      <c r="C97" s="156"/>
      <c r="D97" s="156"/>
      <c r="E97" s="156"/>
      <c r="G97" s="156"/>
      <c r="H97" s="156"/>
      <c r="I97" s="156"/>
      <c r="J97" s="156"/>
    </row>
    <row r="98" spans="3:10" ht="56.25" customHeight="1" x14ac:dyDescent="0.25">
      <c r="C98" s="156"/>
      <c r="D98" s="156"/>
      <c r="E98" s="156"/>
      <c r="G98" s="156"/>
      <c r="H98" s="156"/>
      <c r="I98" s="156"/>
      <c r="J98" s="156"/>
    </row>
    <row r="99" spans="3:10" ht="56.25" customHeight="1" x14ac:dyDescent="0.25">
      <c r="C99" s="156"/>
      <c r="D99" s="156"/>
      <c r="E99" s="156"/>
      <c r="G99" s="156"/>
      <c r="H99" s="156"/>
      <c r="I99" s="156"/>
      <c r="J99" s="156"/>
    </row>
    <row r="100" spans="3:10" ht="56.25" customHeight="1" x14ac:dyDescent="0.25">
      <c r="C100" s="156"/>
      <c r="D100" s="156"/>
      <c r="E100" s="156"/>
      <c r="G100" s="156"/>
      <c r="H100" s="156"/>
      <c r="I100" s="156"/>
      <c r="J100" s="156"/>
    </row>
    <row r="101" spans="3:10" ht="56.25" customHeight="1" x14ac:dyDescent="0.25">
      <c r="C101" s="156"/>
      <c r="D101" s="156"/>
      <c r="E101" s="156"/>
      <c r="G101" s="156"/>
      <c r="H101" s="156"/>
      <c r="I101" s="156"/>
      <c r="J101" s="156"/>
    </row>
    <row r="102" spans="3:10" ht="56.25" customHeight="1" x14ac:dyDescent="0.25">
      <c r="C102" s="156"/>
      <c r="D102" s="156"/>
      <c r="E102" s="156"/>
      <c r="G102" s="156"/>
      <c r="H102" s="156"/>
      <c r="I102" s="156"/>
      <c r="J102" s="156"/>
    </row>
    <row r="103" spans="3:10" ht="56.25" customHeight="1" x14ac:dyDescent="0.25">
      <c r="C103" s="156"/>
      <c r="D103" s="156"/>
      <c r="E103" s="156"/>
      <c r="G103" s="156"/>
      <c r="H103" s="156"/>
      <c r="I103" s="156"/>
      <c r="J103" s="156"/>
    </row>
    <row r="104" spans="3:10" ht="56.25" customHeight="1" x14ac:dyDescent="0.25">
      <c r="C104" s="156"/>
      <c r="D104" s="156"/>
      <c r="E104" s="156"/>
      <c r="G104" s="156"/>
      <c r="H104" s="156"/>
      <c r="I104" s="156"/>
      <c r="J104" s="156"/>
    </row>
    <row r="105" spans="3:10" ht="56.25" customHeight="1" x14ac:dyDescent="0.25">
      <c r="C105" s="156"/>
      <c r="D105" s="156"/>
      <c r="E105" s="156"/>
      <c r="G105" s="156"/>
      <c r="H105" s="156"/>
      <c r="I105" s="156"/>
      <c r="J105" s="156"/>
    </row>
    <row r="106" spans="3:10" ht="56.25" customHeight="1" x14ac:dyDescent="0.25">
      <c r="C106" s="156"/>
      <c r="D106" s="156"/>
      <c r="E106" s="156"/>
      <c r="G106" s="156"/>
      <c r="H106" s="156"/>
      <c r="I106" s="156"/>
      <c r="J106" s="156"/>
    </row>
    <row r="107" spans="3:10" ht="56.25" customHeight="1" x14ac:dyDescent="0.25">
      <c r="C107" s="156"/>
      <c r="D107" s="156"/>
      <c r="E107" s="156"/>
      <c r="G107" s="156"/>
      <c r="H107" s="156"/>
      <c r="I107" s="156"/>
      <c r="J107" s="156"/>
    </row>
    <row r="108" spans="3:10" ht="56.25" customHeight="1" x14ac:dyDescent="0.25">
      <c r="C108" s="156"/>
      <c r="D108" s="156"/>
      <c r="E108" s="156"/>
      <c r="G108" s="156"/>
      <c r="H108" s="156"/>
      <c r="I108" s="156"/>
      <c r="J108" s="156"/>
    </row>
    <row r="109" spans="3:10" ht="56.25" customHeight="1" x14ac:dyDescent="0.25">
      <c r="C109" s="156"/>
      <c r="D109" s="156"/>
      <c r="E109" s="156"/>
      <c r="G109" s="156"/>
      <c r="H109" s="156"/>
      <c r="I109" s="156"/>
      <c r="J109" s="156"/>
    </row>
    <row r="110" spans="3:10" ht="56.25" customHeight="1" x14ac:dyDescent="0.25">
      <c r="C110" s="156"/>
      <c r="D110" s="156"/>
      <c r="E110" s="156"/>
      <c r="G110" s="156"/>
      <c r="H110" s="156"/>
      <c r="I110" s="156"/>
      <c r="J110" s="156"/>
    </row>
    <row r="111" spans="3:10" ht="56.25" customHeight="1" x14ac:dyDescent="0.25">
      <c r="C111" s="156"/>
      <c r="D111" s="156"/>
      <c r="E111" s="156"/>
      <c r="G111" s="156"/>
      <c r="H111" s="156"/>
      <c r="I111" s="156"/>
      <c r="J111" s="156"/>
    </row>
    <row r="112" spans="3:10" ht="56.25" customHeight="1" x14ac:dyDescent="0.25">
      <c r="C112" s="156"/>
      <c r="D112" s="156"/>
      <c r="E112" s="156"/>
      <c r="G112" s="156"/>
      <c r="H112" s="156"/>
      <c r="I112" s="156"/>
      <c r="J112" s="156"/>
    </row>
    <row r="113" spans="3:10" ht="56.25" customHeight="1" x14ac:dyDescent="0.25">
      <c r="C113" s="156"/>
      <c r="D113" s="156"/>
      <c r="E113" s="156"/>
      <c r="G113" s="156"/>
      <c r="H113" s="156"/>
      <c r="I113" s="156"/>
      <c r="J113" s="156"/>
    </row>
    <row r="114" spans="3:10" ht="56.25" customHeight="1" x14ac:dyDescent="0.25">
      <c r="C114" s="156"/>
      <c r="D114" s="156"/>
      <c r="E114" s="156"/>
      <c r="G114" s="156"/>
      <c r="H114" s="156"/>
      <c r="I114" s="156"/>
      <c r="J114" s="156"/>
    </row>
    <row r="115" spans="3:10" ht="56.25" customHeight="1" x14ac:dyDescent="0.25">
      <c r="C115" s="156"/>
      <c r="D115" s="156"/>
      <c r="E115" s="156"/>
      <c r="G115" s="156"/>
      <c r="H115" s="156"/>
      <c r="I115" s="156"/>
      <c r="J115" s="156"/>
    </row>
    <row r="116" spans="3:10" ht="56.25" customHeight="1" x14ac:dyDescent="0.25">
      <c r="C116" s="156"/>
      <c r="D116" s="156"/>
      <c r="E116" s="156"/>
      <c r="G116" s="156"/>
      <c r="H116" s="156"/>
      <c r="I116" s="156"/>
      <c r="J116" s="156"/>
    </row>
    <row r="117" spans="3:10" ht="56.25" customHeight="1" x14ac:dyDescent="0.25">
      <c r="C117" s="156"/>
      <c r="D117" s="156"/>
      <c r="E117" s="156"/>
      <c r="G117" s="156"/>
      <c r="H117" s="156"/>
      <c r="I117" s="156"/>
      <c r="J117" s="156"/>
    </row>
    <row r="118" spans="3:10" ht="56.25" customHeight="1" x14ac:dyDescent="0.25">
      <c r="C118" s="156"/>
      <c r="D118" s="156"/>
      <c r="E118" s="156"/>
      <c r="G118" s="156"/>
      <c r="H118" s="156"/>
      <c r="I118" s="156"/>
      <c r="J118" s="156"/>
    </row>
    <row r="119" spans="3:10" ht="56.25" customHeight="1" x14ac:dyDescent="0.25">
      <c r="C119" s="156"/>
      <c r="D119" s="156"/>
      <c r="E119" s="156"/>
      <c r="G119" s="156"/>
      <c r="H119" s="156"/>
      <c r="I119" s="156"/>
      <c r="J119" s="156"/>
    </row>
    <row r="120" spans="3:10" ht="56.25" customHeight="1" x14ac:dyDescent="0.25">
      <c r="C120" s="156"/>
      <c r="D120" s="156"/>
      <c r="E120" s="156"/>
      <c r="G120" s="156"/>
      <c r="H120" s="156"/>
      <c r="I120" s="156"/>
      <c r="J120" s="156"/>
    </row>
    <row r="121" spans="3:10" ht="56.25" customHeight="1" x14ac:dyDescent="0.25">
      <c r="C121" s="156"/>
      <c r="D121" s="156"/>
      <c r="E121" s="156"/>
      <c r="G121" s="156"/>
      <c r="H121" s="156"/>
      <c r="I121" s="156"/>
      <c r="J121" s="156"/>
    </row>
    <row r="122" spans="3:10" ht="56.25" customHeight="1" x14ac:dyDescent="0.25">
      <c r="C122" s="156"/>
      <c r="D122" s="156"/>
      <c r="E122" s="156"/>
      <c r="G122" s="156"/>
      <c r="H122" s="156"/>
      <c r="I122" s="156"/>
      <c r="J122" s="156"/>
    </row>
    <row r="123" spans="3:10" ht="56.25" customHeight="1" x14ac:dyDescent="0.25">
      <c r="C123" s="156"/>
      <c r="D123" s="156"/>
      <c r="E123" s="156"/>
      <c r="G123" s="156"/>
      <c r="H123" s="156"/>
      <c r="I123" s="156"/>
      <c r="J123" s="156"/>
    </row>
    <row r="124" spans="3:10" ht="56.25" customHeight="1" x14ac:dyDescent="0.25">
      <c r="C124" s="156"/>
      <c r="D124" s="156"/>
      <c r="E124" s="156"/>
      <c r="G124" s="156"/>
      <c r="H124" s="156"/>
      <c r="I124" s="156"/>
      <c r="J124" s="156"/>
    </row>
    <row r="125" spans="3:10" ht="56.25" customHeight="1" x14ac:dyDescent="0.25">
      <c r="C125" s="156"/>
      <c r="D125" s="156"/>
      <c r="E125" s="156"/>
      <c r="G125" s="156"/>
      <c r="H125" s="156"/>
      <c r="I125" s="156"/>
      <c r="J125" s="156"/>
    </row>
    <row r="126" spans="3:10" ht="56.25" customHeight="1" x14ac:dyDescent="0.25">
      <c r="C126" s="156"/>
      <c r="D126" s="156"/>
      <c r="E126" s="156"/>
      <c r="G126" s="156"/>
      <c r="H126" s="156"/>
      <c r="I126" s="156"/>
      <c r="J126" s="156"/>
    </row>
    <row r="127" spans="3:10" ht="56.25" customHeight="1" x14ac:dyDescent="0.25">
      <c r="C127" s="156"/>
      <c r="D127" s="156"/>
      <c r="E127" s="156"/>
      <c r="G127" s="156"/>
      <c r="H127" s="156"/>
      <c r="I127" s="156"/>
      <c r="J127" s="156"/>
    </row>
    <row r="128" spans="3:10" ht="56.25" customHeight="1" x14ac:dyDescent="0.25">
      <c r="C128" s="156"/>
      <c r="D128" s="156"/>
      <c r="E128" s="156"/>
      <c r="G128" s="156"/>
      <c r="H128" s="156"/>
      <c r="I128" s="156"/>
      <c r="J128" s="156"/>
    </row>
    <row r="129" spans="3:10" ht="56.25" customHeight="1" x14ac:dyDescent="0.25">
      <c r="C129" s="156"/>
      <c r="D129" s="156"/>
      <c r="E129" s="156"/>
      <c r="G129" s="156"/>
      <c r="H129" s="156"/>
      <c r="I129" s="156"/>
      <c r="J129" s="156"/>
    </row>
    <row r="130" spans="3:10" ht="56.25" customHeight="1" x14ac:dyDescent="0.25">
      <c r="C130" s="156"/>
      <c r="D130" s="156"/>
      <c r="E130" s="156"/>
      <c r="G130" s="156"/>
      <c r="H130" s="156"/>
      <c r="I130" s="156"/>
      <c r="J130" s="156"/>
    </row>
    <row r="131" spans="3:10" ht="56.25" customHeight="1" x14ac:dyDescent="0.25">
      <c r="C131" s="156"/>
      <c r="D131" s="156"/>
      <c r="E131" s="156"/>
      <c r="G131" s="156"/>
      <c r="H131" s="156"/>
      <c r="I131" s="156"/>
      <c r="J131" s="156"/>
    </row>
    <row r="132" spans="3:10" ht="56.25" customHeight="1" x14ac:dyDescent="0.25">
      <c r="C132" s="156"/>
      <c r="D132" s="156"/>
      <c r="E132" s="156"/>
      <c r="G132" s="156"/>
      <c r="H132" s="156"/>
      <c r="I132" s="156"/>
      <c r="J132" s="156"/>
    </row>
    <row r="133" spans="3:10" ht="56.25" customHeight="1" x14ac:dyDescent="0.25">
      <c r="C133" s="156"/>
      <c r="D133" s="156"/>
      <c r="E133" s="156"/>
      <c r="G133" s="156"/>
      <c r="H133" s="156"/>
      <c r="I133" s="156"/>
      <c r="J133" s="156"/>
    </row>
    <row r="134" spans="3:10" ht="56.25" customHeight="1" x14ac:dyDescent="0.25">
      <c r="C134" s="156"/>
      <c r="D134" s="156"/>
      <c r="E134" s="156"/>
      <c r="G134" s="156"/>
      <c r="H134" s="156"/>
      <c r="I134" s="156"/>
      <c r="J134" s="156"/>
    </row>
    <row r="135" spans="3:10" ht="56.25" customHeight="1" x14ac:dyDescent="0.25">
      <c r="C135" s="156"/>
      <c r="D135" s="156"/>
      <c r="E135" s="156"/>
      <c r="G135" s="156"/>
      <c r="H135" s="156"/>
      <c r="I135" s="156"/>
      <c r="J135" s="156"/>
    </row>
    <row r="136" spans="3:10" ht="56.25" customHeight="1" x14ac:dyDescent="0.25">
      <c r="C136" s="156"/>
      <c r="D136" s="156"/>
      <c r="E136" s="156"/>
      <c r="G136" s="156"/>
      <c r="H136" s="156"/>
      <c r="I136" s="156"/>
      <c r="J136" s="156"/>
    </row>
    <row r="137" spans="3:10" ht="56.25" customHeight="1" x14ac:dyDescent="0.25">
      <c r="C137" s="156"/>
      <c r="D137" s="156"/>
      <c r="E137" s="156"/>
      <c r="G137" s="156"/>
      <c r="H137" s="156"/>
      <c r="I137" s="156"/>
      <c r="J137" s="156"/>
    </row>
    <row r="138" spans="3:10" ht="56.25" customHeight="1" x14ac:dyDescent="0.25">
      <c r="C138" s="156"/>
      <c r="D138" s="156"/>
      <c r="E138" s="156"/>
      <c r="G138" s="156"/>
      <c r="H138" s="156"/>
      <c r="I138" s="156"/>
      <c r="J138" s="156"/>
    </row>
    <row r="139" spans="3:10" ht="56.25" customHeight="1" x14ac:dyDescent="0.25">
      <c r="C139" s="156"/>
      <c r="D139" s="156"/>
      <c r="E139" s="156"/>
      <c r="G139" s="156"/>
      <c r="H139" s="156"/>
      <c r="I139" s="156"/>
      <c r="J139" s="156"/>
    </row>
    <row r="140" spans="3:10" ht="56.25" customHeight="1" x14ac:dyDescent="0.25">
      <c r="C140" s="156"/>
      <c r="D140" s="156"/>
      <c r="E140" s="156"/>
      <c r="G140" s="156"/>
      <c r="H140" s="156"/>
      <c r="I140" s="156"/>
      <c r="J140" s="156"/>
    </row>
    <row r="141" spans="3:10" ht="56.25" customHeight="1" x14ac:dyDescent="0.25">
      <c r="C141" s="156"/>
      <c r="D141" s="156"/>
      <c r="E141" s="156"/>
      <c r="G141" s="156"/>
      <c r="H141" s="156"/>
      <c r="I141" s="156"/>
      <c r="J141" s="156"/>
    </row>
    <row r="142" spans="3:10" ht="56.25" customHeight="1" x14ac:dyDescent="0.25">
      <c r="C142" s="156"/>
      <c r="D142" s="156"/>
      <c r="E142" s="156"/>
      <c r="G142" s="156"/>
      <c r="H142" s="156"/>
      <c r="I142" s="156"/>
      <c r="J142" s="156"/>
    </row>
    <row r="143" spans="3:10" ht="56.25" customHeight="1" x14ac:dyDescent="0.25">
      <c r="C143" s="156"/>
      <c r="D143" s="156"/>
      <c r="E143" s="156"/>
      <c r="G143" s="156"/>
      <c r="H143" s="156"/>
      <c r="I143" s="156"/>
      <c r="J143" s="156"/>
    </row>
    <row r="144" spans="3:10" ht="56.25" customHeight="1" x14ac:dyDescent="0.25">
      <c r="C144" s="156"/>
      <c r="D144" s="156"/>
      <c r="E144" s="156"/>
      <c r="G144" s="156"/>
      <c r="H144" s="156"/>
      <c r="I144" s="156"/>
      <c r="J144" s="156"/>
    </row>
    <row r="145" spans="3:10" ht="56.25" customHeight="1" x14ac:dyDescent="0.25">
      <c r="C145" s="156"/>
      <c r="D145" s="156"/>
      <c r="E145" s="156"/>
      <c r="G145" s="156"/>
      <c r="H145" s="156"/>
      <c r="I145" s="156"/>
      <c r="J145" s="156"/>
    </row>
    <row r="146" spans="3:10" ht="56.25" customHeight="1" x14ac:dyDescent="0.25">
      <c r="C146" s="156"/>
      <c r="D146" s="156"/>
      <c r="E146" s="156"/>
      <c r="G146" s="156"/>
      <c r="H146" s="156"/>
      <c r="I146" s="156"/>
      <c r="J146" s="156"/>
    </row>
    <row r="147" spans="3:10" ht="56.25" customHeight="1" x14ac:dyDescent="0.25">
      <c r="C147" s="156"/>
      <c r="D147" s="156"/>
      <c r="E147" s="156"/>
      <c r="G147" s="156"/>
      <c r="H147" s="156"/>
      <c r="I147" s="156"/>
      <c r="J147" s="156"/>
    </row>
    <row r="148" spans="3:10" ht="56.25" customHeight="1" x14ac:dyDescent="0.25">
      <c r="C148" s="156"/>
      <c r="D148" s="156"/>
      <c r="E148" s="156"/>
      <c r="G148" s="156"/>
      <c r="H148" s="156"/>
      <c r="I148" s="156"/>
      <c r="J148" s="156"/>
    </row>
    <row r="149" spans="3:10" ht="56.25" customHeight="1" x14ac:dyDescent="0.25">
      <c r="C149" s="156"/>
      <c r="D149" s="156"/>
      <c r="E149" s="156"/>
      <c r="G149" s="156"/>
      <c r="H149" s="156"/>
      <c r="I149" s="156"/>
      <c r="J149" s="156"/>
    </row>
    <row r="150" spans="3:10" ht="56.25" customHeight="1" x14ac:dyDescent="0.25">
      <c r="C150" s="156"/>
      <c r="D150" s="156"/>
      <c r="E150" s="156"/>
      <c r="G150" s="156"/>
      <c r="H150" s="156"/>
      <c r="I150" s="156"/>
      <c r="J150" s="156"/>
    </row>
    <row r="151" spans="3:10" ht="56.25" customHeight="1" x14ac:dyDescent="0.25">
      <c r="C151" s="156"/>
      <c r="D151" s="156"/>
      <c r="E151" s="156"/>
      <c r="G151" s="156"/>
      <c r="H151" s="156"/>
      <c r="I151" s="156"/>
      <c r="J151" s="156"/>
    </row>
    <row r="152" spans="3:10" ht="56.25" customHeight="1" x14ac:dyDescent="0.25">
      <c r="C152" s="156"/>
      <c r="D152" s="156"/>
      <c r="E152" s="156"/>
      <c r="G152" s="156"/>
      <c r="H152" s="156"/>
      <c r="I152" s="156"/>
      <c r="J152" s="156"/>
    </row>
    <row r="153" spans="3:10" ht="56.25" customHeight="1" x14ac:dyDescent="0.25">
      <c r="C153" s="156"/>
      <c r="D153" s="156"/>
      <c r="E153" s="156"/>
      <c r="G153" s="156"/>
      <c r="H153" s="156"/>
      <c r="I153" s="156"/>
      <c r="J153" s="156"/>
    </row>
    <row r="154" spans="3:10" ht="56.25" customHeight="1" x14ac:dyDescent="0.25">
      <c r="C154" s="156"/>
      <c r="D154" s="156"/>
      <c r="E154" s="156"/>
      <c r="G154" s="156"/>
      <c r="H154" s="156"/>
      <c r="I154" s="156"/>
      <c r="J154" s="156"/>
    </row>
    <row r="155" spans="3:10" ht="56.25" customHeight="1" x14ac:dyDescent="0.25">
      <c r="C155" s="156"/>
      <c r="D155" s="156"/>
      <c r="E155" s="156"/>
      <c r="G155" s="156"/>
      <c r="H155" s="156"/>
      <c r="I155" s="156"/>
      <c r="J155" s="156"/>
    </row>
    <row r="156" spans="3:10" ht="56.25" customHeight="1" x14ac:dyDescent="0.25">
      <c r="C156" s="156"/>
      <c r="D156" s="156"/>
      <c r="E156" s="156"/>
      <c r="G156" s="156"/>
      <c r="H156" s="156"/>
      <c r="I156" s="156"/>
      <c r="J156" s="156"/>
    </row>
    <row r="157" spans="3:10" ht="56.25" customHeight="1" x14ac:dyDescent="0.25">
      <c r="C157" s="156"/>
      <c r="D157" s="156"/>
      <c r="E157" s="156"/>
      <c r="G157" s="156"/>
      <c r="H157" s="156"/>
      <c r="I157" s="156"/>
      <c r="J157" s="156"/>
    </row>
    <row r="158" spans="3:10" ht="56.25" customHeight="1" x14ac:dyDescent="0.25">
      <c r="C158" s="156"/>
      <c r="D158" s="156"/>
      <c r="E158" s="156"/>
      <c r="G158" s="156"/>
      <c r="H158" s="156"/>
      <c r="I158" s="156"/>
      <c r="J158" s="156"/>
    </row>
    <row r="159" spans="3:10" ht="56.25" customHeight="1" x14ac:dyDescent="0.25">
      <c r="C159" s="156"/>
      <c r="D159" s="156"/>
      <c r="E159" s="156"/>
      <c r="G159" s="156"/>
      <c r="H159" s="156"/>
      <c r="I159" s="156"/>
      <c r="J159" s="156"/>
    </row>
    <row r="160" spans="3:10" ht="56.25" customHeight="1" x14ac:dyDescent="0.25">
      <c r="C160" s="156"/>
      <c r="D160" s="156"/>
      <c r="E160" s="156"/>
      <c r="G160" s="156"/>
      <c r="H160" s="156"/>
      <c r="I160" s="156"/>
      <c r="J160" s="156"/>
    </row>
    <row r="161" spans="3:10" ht="56.25" customHeight="1" x14ac:dyDescent="0.25">
      <c r="C161" s="156"/>
      <c r="D161" s="156"/>
      <c r="E161" s="156"/>
      <c r="G161" s="156"/>
      <c r="H161" s="156"/>
      <c r="I161" s="156"/>
      <c r="J161" s="156"/>
    </row>
    <row r="162" spans="3:10" ht="56.25" customHeight="1" x14ac:dyDescent="0.25">
      <c r="C162" s="156"/>
      <c r="D162" s="156"/>
      <c r="E162" s="156"/>
      <c r="G162" s="156"/>
      <c r="H162" s="156"/>
      <c r="I162" s="156"/>
      <c r="J162" s="156"/>
    </row>
    <row r="163" spans="3:10" ht="56.25" customHeight="1" x14ac:dyDescent="0.25">
      <c r="C163" s="156"/>
      <c r="D163" s="156"/>
      <c r="E163" s="156"/>
      <c r="G163" s="156"/>
      <c r="H163" s="156"/>
      <c r="I163" s="156"/>
      <c r="J163" s="156"/>
    </row>
    <row r="164" spans="3:10" ht="56.25" customHeight="1" x14ac:dyDescent="0.25">
      <c r="C164" s="156"/>
      <c r="D164" s="156"/>
      <c r="E164" s="156"/>
      <c r="G164" s="156"/>
      <c r="H164" s="156"/>
      <c r="I164" s="156"/>
      <c r="J164" s="156"/>
    </row>
    <row r="165" spans="3:10" ht="56.25" customHeight="1" x14ac:dyDescent="0.25">
      <c r="C165" s="156"/>
      <c r="D165" s="156"/>
      <c r="E165" s="156"/>
      <c r="G165" s="156"/>
      <c r="H165" s="156"/>
      <c r="I165" s="156"/>
      <c r="J165" s="156"/>
    </row>
    <row r="166" spans="3:10" ht="56.25" customHeight="1" x14ac:dyDescent="0.25">
      <c r="C166" s="156"/>
      <c r="D166" s="156"/>
      <c r="E166" s="156"/>
      <c r="G166" s="156"/>
      <c r="H166" s="156"/>
      <c r="I166" s="156"/>
      <c r="J166" s="156"/>
    </row>
    <row r="167" spans="3:10" ht="56.25" customHeight="1" x14ac:dyDescent="0.25">
      <c r="C167" s="156"/>
      <c r="D167" s="156"/>
      <c r="E167" s="156"/>
      <c r="G167" s="156"/>
      <c r="H167" s="156"/>
      <c r="I167" s="156"/>
      <c r="J167" s="156"/>
    </row>
    <row r="168" spans="3:10" ht="56.25" customHeight="1" x14ac:dyDescent="0.25">
      <c r="C168" s="156"/>
      <c r="D168" s="156"/>
      <c r="E168" s="156"/>
      <c r="G168" s="156"/>
      <c r="H168" s="156"/>
      <c r="I168" s="156"/>
      <c r="J168" s="156"/>
    </row>
    <row r="169" spans="3:10" ht="56.25" customHeight="1" x14ac:dyDescent="0.25">
      <c r="C169" s="156"/>
      <c r="D169" s="156"/>
      <c r="E169" s="156"/>
      <c r="G169" s="156"/>
      <c r="H169" s="156"/>
      <c r="I169" s="156"/>
      <c r="J169" s="156"/>
    </row>
    <row r="170" spans="3:10" ht="56.25" customHeight="1" x14ac:dyDescent="0.25">
      <c r="C170" s="156"/>
      <c r="D170" s="156"/>
      <c r="E170" s="156"/>
      <c r="G170" s="156"/>
      <c r="H170" s="156"/>
      <c r="I170" s="156"/>
      <c r="J170" s="156"/>
    </row>
    <row r="171" spans="3:10" ht="56.25" customHeight="1" x14ac:dyDescent="0.25">
      <c r="C171" s="156"/>
      <c r="D171" s="156"/>
      <c r="E171" s="156"/>
      <c r="G171" s="156"/>
      <c r="H171" s="156"/>
      <c r="I171" s="156"/>
      <c r="J171" s="156"/>
    </row>
    <row r="172" spans="3:10" ht="56.25" customHeight="1" x14ac:dyDescent="0.25">
      <c r="C172" s="156"/>
      <c r="D172" s="156"/>
      <c r="E172" s="156"/>
      <c r="G172" s="156"/>
      <c r="H172" s="156"/>
      <c r="I172" s="156"/>
      <c r="J172" s="156"/>
    </row>
    <row r="173" spans="3:10" ht="56.25" customHeight="1" x14ac:dyDescent="0.25">
      <c r="C173" s="156"/>
      <c r="D173" s="156"/>
      <c r="E173" s="156"/>
      <c r="G173" s="156"/>
      <c r="H173" s="156"/>
      <c r="I173" s="156"/>
      <c r="J173" s="156"/>
    </row>
    <row r="174" spans="3:10" ht="56.25" customHeight="1" x14ac:dyDescent="0.25">
      <c r="C174" s="156"/>
      <c r="D174" s="156"/>
      <c r="E174" s="156"/>
      <c r="G174" s="156"/>
      <c r="H174" s="156"/>
      <c r="I174" s="156"/>
      <c r="J174" s="156"/>
    </row>
    <row r="175" spans="3:10" ht="56.25" customHeight="1" x14ac:dyDescent="0.25">
      <c r="C175" s="156"/>
      <c r="D175" s="156"/>
      <c r="E175" s="156"/>
      <c r="G175" s="156"/>
      <c r="H175" s="156"/>
      <c r="I175" s="156"/>
      <c r="J175" s="156"/>
    </row>
    <row r="176" spans="3:10" ht="56.25" customHeight="1" x14ac:dyDescent="0.25">
      <c r="C176" s="156"/>
      <c r="D176" s="156"/>
      <c r="E176" s="156"/>
      <c r="G176" s="156"/>
      <c r="H176" s="156"/>
      <c r="I176" s="156"/>
      <c r="J176" s="156"/>
    </row>
    <row r="177" spans="3:10" ht="56.25" customHeight="1" x14ac:dyDescent="0.25">
      <c r="C177" s="156"/>
      <c r="D177" s="156"/>
      <c r="E177" s="156"/>
      <c r="G177" s="156"/>
      <c r="H177" s="156"/>
      <c r="I177" s="156"/>
      <c r="J177" s="156"/>
    </row>
    <row r="178" spans="3:10" ht="56.25" customHeight="1" x14ac:dyDescent="0.25">
      <c r="C178" s="156"/>
      <c r="D178" s="156"/>
      <c r="E178" s="156"/>
      <c r="G178" s="156"/>
      <c r="H178" s="156"/>
      <c r="I178" s="156"/>
      <c r="J178" s="156"/>
    </row>
    <row r="179" spans="3:10" ht="56.25" customHeight="1" x14ac:dyDescent="0.25">
      <c r="C179" s="156"/>
      <c r="D179" s="156"/>
      <c r="E179" s="156"/>
      <c r="G179" s="156"/>
      <c r="H179" s="156"/>
      <c r="I179" s="156"/>
      <c r="J179" s="156"/>
    </row>
    <row r="180" spans="3:10" ht="56.25" customHeight="1" x14ac:dyDescent="0.25">
      <c r="C180" s="156"/>
      <c r="D180" s="156"/>
      <c r="E180" s="156"/>
      <c r="G180" s="156"/>
      <c r="H180" s="156"/>
      <c r="I180" s="156"/>
      <c r="J180" s="156"/>
    </row>
    <row r="181" spans="3:10" ht="56.25" customHeight="1" x14ac:dyDescent="0.25">
      <c r="C181" s="156"/>
      <c r="D181" s="156"/>
      <c r="E181" s="156"/>
      <c r="G181" s="156"/>
      <c r="H181" s="156"/>
      <c r="I181" s="156"/>
      <c r="J181" s="156"/>
    </row>
    <row r="182" spans="3:10" ht="56.25" customHeight="1" x14ac:dyDescent="0.25">
      <c r="C182" s="156"/>
      <c r="D182" s="156"/>
      <c r="E182" s="156"/>
      <c r="G182" s="156"/>
      <c r="H182" s="156"/>
      <c r="I182" s="156"/>
      <c r="J182" s="156"/>
    </row>
    <row r="183" spans="3:10" ht="56.25" customHeight="1" x14ac:dyDescent="0.25">
      <c r="C183" s="156"/>
      <c r="D183" s="156"/>
      <c r="E183" s="156"/>
      <c r="G183" s="156"/>
      <c r="H183" s="156"/>
      <c r="I183" s="156"/>
      <c r="J183" s="156"/>
    </row>
    <row r="184" spans="3:10" ht="56.25" customHeight="1" x14ac:dyDescent="0.25">
      <c r="C184" s="156"/>
      <c r="D184" s="156"/>
      <c r="E184" s="156"/>
      <c r="G184" s="156"/>
      <c r="H184" s="156"/>
      <c r="I184" s="156"/>
      <c r="J184" s="156"/>
    </row>
    <row r="185" spans="3:10" ht="56.25" customHeight="1" x14ac:dyDescent="0.25">
      <c r="C185" s="156"/>
      <c r="D185" s="156"/>
      <c r="E185" s="156"/>
      <c r="G185" s="156"/>
      <c r="H185" s="156"/>
      <c r="I185" s="156"/>
      <c r="J185" s="156"/>
    </row>
    <row r="186" spans="3:10" ht="56.25" customHeight="1" x14ac:dyDescent="0.25">
      <c r="C186" s="156"/>
      <c r="D186" s="156"/>
      <c r="E186" s="156"/>
      <c r="G186" s="156"/>
      <c r="H186" s="156"/>
      <c r="I186" s="156"/>
      <c r="J186" s="156"/>
    </row>
    <row r="187" spans="3:10" ht="56.25" customHeight="1" x14ac:dyDescent="0.25">
      <c r="C187" s="156"/>
      <c r="D187" s="156"/>
      <c r="E187" s="156"/>
      <c r="G187" s="156"/>
      <c r="H187" s="156"/>
      <c r="I187" s="156"/>
      <c r="J187" s="156"/>
    </row>
    <row r="188" spans="3:10" ht="56.25" customHeight="1" x14ac:dyDescent="0.25">
      <c r="C188" s="156"/>
      <c r="D188" s="156"/>
      <c r="E188" s="156"/>
      <c r="G188" s="156"/>
      <c r="H188" s="156"/>
      <c r="I188" s="156"/>
      <c r="J188" s="156"/>
    </row>
    <row r="189" spans="3:10" ht="56.25" customHeight="1" x14ac:dyDescent="0.25">
      <c r="C189" s="156"/>
      <c r="D189" s="156"/>
      <c r="E189" s="156"/>
      <c r="G189" s="156"/>
      <c r="H189" s="156"/>
      <c r="I189" s="156"/>
      <c r="J189" s="156"/>
    </row>
    <row r="190" spans="3:10" ht="56.25" customHeight="1" x14ac:dyDescent="0.25">
      <c r="C190" s="156"/>
      <c r="D190" s="156"/>
      <c r="E190" s="156"/>
      <c r="G190" s="156"/>
      <c r="H190" s="156"/>
      <c r="I190" s="156"/>
      <c r="J190" s="156"/>
    </row>
    <row r="191" spans="3:10" ht="56.25" customHeight="1" x14ac:dyDescent="0.25">
      <c r="C191" s="156"/>
      <c r="D191" s="156"/>
      <c r="E191" s="156"/>
      <c r="G191" s="156"/>
      <c r="H191" s="156"/>
      <c r="I191" s="156"/>
      <c r="J191" s="156"/>
    </row>
    <row r="192" spans="3:10" ht="56.25" customHeight="1" x14ac:dyDescent="0.25">
      <c r="C192" s="156"/>
      <c r="D192" s="156"/>
      <c r="E192" s="156"/>
      <c r="G192" s="156"/>
      <c r="H192" s="156"/>
      <c r="I192" s="156"/>
      <c r="J192" s="156"/>
    </row>
    <row r="193" spans="3:10" ht="56.25" customHeight="1" x14ac:dyDescent="0.25">
      <c r="C193" s="156"/>
      <c r="D193" s="156"/>
      <c r="E193" s="156"/>
      <c r="G193" s="156"/>
      <c r="H193" s="156"/>
      <c r="I193" s="156"/>
      <c r="J193" s="156"/>
    </row>
    <row r="194" spans="3:10" ht="56.25" customHeight="1" x14ac:dyDescent="0.25">
      <c r="C194" s="156"/>
      <c r="D194" s="156"/>
      <c r="E194" s="156"/>
      <c r="G194" s="156"/>
      <c r="H194" s="156"/>
      <c r="I194" s="156"/>
      <c r="J194" s="156"/>
    </row>
    <row r="195" spans="3:10" ht="56.25" customHeight="1" x14ac:dyDescent="0.25">
      <c r="C195" s="156"/>
      <c r="D195" s="156"/>
      <c r="E195" s="156"/>
      <c r="G195" s="156"/>
      <c r="H195" s="156"/>
      <c r="I195" s="156"/>
      <c r="J195" s="156"/>
    </row>
    <row r="196" spans="3:10" ht="56.25" customHeight="1" x14ac:dyDescent="0.25">
      <c r="C196" s="156"/>
      <c r="D196" s="156"/>
      <c r="E196" s="156"/>
      <c r="G196" s="156"/>
      <c r="H196" s="156"/>
      <c r="I196" s="156"/>
      <c r="J196" s="156"/>
    </row>
    <row r="197" spans="3:10" ht="56.25" customHeight="1" x14ac:dyDescent="0.25">
      <c r="C197" s="156"/>
      <c r="D197" s="156"/>
      <c r="E197" s="156"/>
      <c r="G197" s="156"/>
      <c r="H197" s="156"/>
      <c r="I197" s="156"/>
      <c r="J197" s="156"/>
    </row>
    <row r="198" spans="3:10" ht="56.25" customHeight="1" x14ac:dyDescent="0.25">
      <c r="C198" s="156"/>
      <c r="D198" s="156"/>
      <c r="E198" s="156"/>
      <c r="G198" s="156"/>
      <c r="H198" s="156"/>
      <c r="I198" s="156"/>
      <c r="J198" s="156"/>
    </row>
    <row r="199" spans="3:10" ht="56.25" customHeight="1" x14ac:dyDescent="0.25">
      <c r="C199" s="156"/>
      <c r="D199" s="156"/>
      <c r="E199" s="156"/>
      <c r="G199" s="156"/>
      <c r="H199" s="156"/>
      <c r="I199" s="156"/>
      <c r="J199" s="156"/>
    </row>
    <row r="200" spans="3:10" ht="56.25" customHeight="1" x14ac:dyDescent="0.25">
      <c r="C200" s="156"/>
      <c r="D200" s="156"/>
      <c r="E200" s="156"/>
      <c r="G200" s="156"/>
      <c r="H200" s="156"/>
      <c r="I200" s="156"/>
      <c r="J200" s="156"/>
    </row>
    <row r="201" spans="3:10" ht="56.25" customHeight="1" x14ac:dyDescent="0.25">
      <c r="C201" s="156"/>
      <c r="D201" s="156"/>
      <c r="E201" s="156"/>
      <c r="G201" s="156"/>
      <c r="H201" s="156"/>
      <c r="I201" s="156"/>
      <c r="J201" s="156"/>
    </row>
    <row r="202" spans="3:10" ht="56.25" customHeight="1" x14ac:dyDescent="0.25">
      <c r="C202" s="156"/>
      <c r="D202" s="156"/>
      <c r="E202" s="156"/>
      <c r="G202" s="156"/>
      <c r="H202" s="156"/>
      <c r="I202" s="156"/>
      <c r="J202" s="156"/>
    </row>
    <row r="203" spans="3:10" ht="56.25" customHeight="1" x14ac:dyDescent="0.25">
      <c r="C203" s="156"/>
      <c r="D203" s="156"/>
      <c r="E203" s="156"/>
      <c r="G203" s="156"/>
      <c r="H203" s="156"/>
      <c r="I203" s="156"/>
      <c r="J203" s="156"/>
    </row>
    <row r="204" spans="3:10" ht="56.25" customHeight="1" x14ac:dyDescent="0.25">
      <c r="C204" s="156"/>
      <c r="D204" s="156"/>
      <c r="E204" s="156"/>
      <c r="G204" s="156"/>
      <c r="H204" s="156"/>
      <c r="I204" s="156"/>
      <c r="J204" s="156"/>
    </row>
    <row r="205" spans="3:10" ht="56.25" customHeight="1" x14ac:dyDescent="0.25">
      <c r="C205" s="156"/>
      <c r="D205" s="156"/>
      <c r="E205" s="156"/>
      <c r="G205" s="156"/>
      <c r="H205" s="156"/>
      <c r="I205" s="156"/>
      <c r="J205" s="156"/>
    </row>
    <row r="206" spans="3:10" ht="56.25" customHeight="1" x14ac:dyDescent="0.25">
      <c r="C206" s="156"/>
      <c r="D206" s="156"/>
      <c r="E206" s="156"/>
      <c r="G206" s="156"/>
      <c r="H206" s="156"/>
      <c r="I206" s="156"/>
      <c r="J206" s="156"/>
    </row>
    <row r="207" spans="3:10" ht="56.25" customHeight="1" x14ac:dyDescent="0.25">
      <c r="C207" s="156"/>
      <c r="D207" s="156"/>
      <c r="E207" s="156"/>
      <c r="G207" s="156"/>
      <c r="H207" s="156"/>
      <c r="I207" s="156"/>
      <c r="J207" s="156"/>
    </row>
    <row r="208" spans="3:10" ht="56.25" customHeight="1" x14ac:dyDescent="0.25">
      <c r="C208" s="156"/>
      <c r="D208" s="156"/>
      <c r="E208" s="156"/>
      <c r="G208" s="156"/>
      <c r="H208" s="156"/>
      <c r="I208" s="156"/>
      <c r="J208" s="156"/>
    </row>
    <row r="209" spans="3:10" ht="56.25" customHeight="1" x14ac:dyDescent="0.25">
      <c r="C209" s="156"/>
      <c r="D209" s="156"/>
      <c r="E209" s="156"/>
      <c r="G209" s="156"/>
      <c r="H209" s="156"/>
      <c r="I209" s="156"/>
      <c r="J209" s="156"/>
    </row>
    <row r="210" spans="3:10" ht="56.25" customHeight="1" x14ac:dyDescent="0.25">
      <c r="C210" s="156"/>
      <c r="D210" s="156"/>
      <c r="E210" s="156"/>
      <c r="G210" s="156"/>
      <c r="H210" s="156"/>
      <c r="I210" s="156"/>
      <c r="J210" s="156"/>
    </row>
    <row r="211" spans="3:10" ht="56.25" customHeight="1" x14ac:dyDescent="0.25">
      <c r="C211" s="156"/>
      <c r="D211" s="156"/>
      <c r="E211" s="156"/>
      <c r="G211" s="156"/>
      <c r="H211" s="156"/>
      <c r="I211" s="156"/>
      <c r="J211" s="156"/>
    </row>
    <row r="212" spans="3:10" ht="56.25" customHeight="1" x14ac:dyDescent="0.25">
      <c r="C212" s="156"/>
      <c r="D212" s="156"/>
      <c r="E212" s="156"/>
      <c r="G212" s="156"/>
      <c r="H212" s="156"/>
      <c r="I212" s="156"/>
      <c r="J212" s="156"/>
    </row>
    <row r="213" spans="3:10" ht="56.25" customHeight="1" x14ac:dyDescent="0.25">
      <c r="C213" s="156"/>
      <c r="D213" s="156"/>
      <c r="E213" s="156"/>
      <c r="G213" s="156"/>
      <c r="H213" s="156"/>
      <c r="I213" s="156"/>
      <c r="J213" s="156"/>
    </row>
    <row r="214" spans="3:10" ht="56.25" customHeight="1" x14ac:dyDescent="0.25">
      <c r="C214" s="156"/>
      <c r="D214" s="156"/>
      <c r="E214" s="156"/>
      <c r="G214" s="156"/>
      <c r="H214" s="156"/>
      <c r="I214" s="156"/>
      <c r="J214" s="156"/>
    </row>
    <row r="215" spans="3:10" ht="56.25" customHeight="1" x14ac:dyDescent="0.25">
      <c r="C215" s="156"/>
      <c r="D215" s="156"/>
      <c r="E215" s="156"/>
      <c r="G215" s="156"/>
      <c r="H215" s="156"/>
      <c r="I215" s="156"/>
      <c r="J215" s="156"/>
    </row>
    <row r="216" spans="3:10" ht="56.25" customHeight="1" x14ac:dyDescent="0.25">
      <c r="C216" s="156"/>
      <c r="D216" s="156"/>
      <c r="E216" s="156"/>
      <c r="G216" s="156"/>
      <c r="H216" s="156"/>
      <c r="I216" s="156"/>
      <c r="J216" s="156"/>
    </row>
    <row r="217" spans="3:10" ht="56.25" customHeight="1" x14ac:dyDescent="0.25">
      <c r="C217" s="156"/>
      <c r="D217" s="156"/>
      <c r="E217" s="156"/>
      <c r="G217" s="156"/>
      <c r="H217" s="156"/>
      <c r="I217" s="156"/>
      <c r="J217" s="156"/>
    </row>
    <row r="218" spans="3:10" ht="56.25" customHeight="1" x14ac:dyDescent="0.25">
      <c r="C218" s="156"/>
      <c r="D218" s="156"/>
      <c r="E218" s="156"/>
      <c r="G218" s="156"/>
      <c r="H218" s="156"/>
      <c r="I218" s="156"/>
      <c r="J218" s="156"/>
    </row>
    <row r="219" spans="3:10" ht="56.25" customHeight="1" x14ac:dyDescent="0.25">
      <c r="C219" s="156"/>
      <c r="D219" s="156"/>
      <c r="E219" s="156"/>
      <c r="G219" s="156"/>
      <c r="H219" s="156"/>
      <c r="I219" s="156"/>
      <c r="J219" s="156"/>
    </row>
    <row r="220" spans="3:10" ht="56.25" customHeight="1" x14ac:dyDescent="0.25">
      <c r="C220" s="156"/>
      <c r="D220" s="156"/>
      <c r="E220" s="156"/>
      <c r="G220" s="156"/>
      <c r="H220" s="156"/>
      <c r="I220" s="156"/>
      <c r="J220" s="156"/>
    </row>
    <row r="221" spans="3:10" ht="56.25" customHeight="1" x14ac:dyDescent="0.25">
      <c r="C221" s="156"/>
      <c r="D221" s="156"/>
      <c r="E221" s="156"/>
      <c r="G221" s="156"/>
      <c r="H221" s="156"/>
      <c r="I221" s="156"/>
      <c r="J221" s="156"/>
    </row>
    <row r="222" spans="3:10" ht="56.25" customHeight="1" x14ac:dyDescent="0.25">
      <c r="C222" s="156"/>
      <c r="D222" s="156"/>
      <c r="E222" s="156"/>
      <c r="G222" s="156"/>
      <c r="H222" s="156"/>
      <c r="I222" s="156"/>
      <c r="J222" s="156"/>
    </row>
    <row r="223" spans="3:10" ht="56.25" customHeight="1" x14ac:dyDescent="0.25">
      <c r="C223" s="156"/>
      <c r="D223" s="156"/>
      <c r="E223" s="156"/>
      <c r="G223" s="156"/>
      <c r="H223" s="156"/>
      <c r="I223" s="156"/>
      <c r="J223" s="156"/>
    </row>
    <row r="224" spans="3:10" ht="56.25" customHeight="1" x14ac:dyDescent="0.25">
      <c r="C224" s="156"/>
      <c r="D224" s="156"/>
      <c r="E224" s="156"/>
      <c r="G224" s="156"/>
      <c r="H224" s="156"/>
      <c r="I224" s="156"/>
      <c r="J224" s="156"/>
    </row>
    <row r="225" spans="3:10" ht="56.25" customHeight="1" x14ac:dyDescent="0.25">
      <c r="C225" s="156"/>
      <c r="D225" s="156"/>
      <c r="E225" s="156"/>
      <c r="G225" s="156"/>
      <c r="H225" s="156"/>
      <c r="I225" s="156"/>
      <c r="J225" s="156"/>
    </row>
    <row r="226" spans="3:10" ht="56.25" customHeight="1" x14ac:dyDescent="0.25">
      <c r="C226" s="156"/>
      <c r="D226" s="156"/>
      <c r="E226" s="156"/>
      <c r="G226" s="156"/>
      <c r="H226" s="156"/>
      <c r="I226" s="156"/>
      <c r="J226" s="156"/>
    </row>
    <row r="227" spans="3:10" ht="56.25" customHeight="1" x14ac:dyDescent="0.25">
      <c r="C227" s="156"/>
      <c r="D227" s="156"/>
      <c r="E227" s="156"/>
      <c r="G227" s="156"/>
      <c r="H227" s="156"/>
      <c r="I227" s="156"/>
      <c r="J227" s="156"/>
    </row>
    <row r="228" spans="3:10" ht="56.25" customHeight="1" x14ac:dyDescent="0.25">
      <c r="C228" s="156"/>
      <c r="D228" s="156"/>
      <c r="E228" s="156"/>
      <c r="G228" s="156"/>
      <c r="H228" s="156"/>
      <c r="I228" s="156"/>
      <c r="J228" s="156"/>
    </row>
    <row r="229" spans="3:10" ht="56.25" customHeight="1" x14ac:dyDescent="0.25">
      <c r="C229" s="156"/>
      <c r="D229" s="156"/>
      <c r="E229" s="156"/>
      <c r="G229" s="156"/>
      <c r="H229" s="156"/>
      <c r="I229" s="156"/>
      <c r="J229" s="156"/>
    </row>
    <row r="230" spans="3:10" ht="56.25" customHeight="1" x14ac:dyDescent="0.25">
      <c r="C230" s="156"/>
      <c r="D230" s="156"/>
      <c r="E230" s="156"/>
      <c r="G230" s="156"/>
      <c r="H230" s="156"/>
      <c r="I230" s="156"/>
      <c r="J230" s="156"/>
    </row>
    <row r="231" spans="3:10" ht="56.25" customHeight="1" x14ac:dyDescent="0.25">
      <c r="C231" s="156"/>
      <c r="D231" s="156"/>
      <c r="E231" s="156"/>
      <c r="G231" s="156"/>
      <c r="H231" s="156"/>
      <c r="I231" s="156"/>
      <c r="J231" s="156"/>
    </row>
    <row r="232" spans="3:10" ht="56.25" customHeight="1" x14ac:dyDescent="0.25">
      <c r="C232" s="156"/>
      <c r="D232" s="156"/>
      <c r="E232" s="156"/>
      <c r="G232" s="156"/>
      <c r="H232" s="156"/>
      <c r="I232" s="156"/>
      <c r="J232" s="156"/>
    </row>
  </sheetData>
  <mergeCells count="12">
    <mergeCell ref="A1:M1"/>
    <mergeCell ref="A27:O27"/>
    <mergeCell ref="K3:M3"/>
    <mergeCell ref="K4:M4"/>
    <mergeCell ref="K5:M5"/>
    <mergeCell ref="K8:M8"/>
    <mergeCell ref="K7:M7"/>
    <mergeCell ref="K6:M6"/>
    <mergeCell ref="K10:M10"/>
    <mergeCell ref="K11:M11"/>
    <mergeCell ref="K12:M12"/>
    <mergeCell ref="K18:M1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35"/>
  <sheetViews>
    <sheetView topLeftCell="D1" zoomScale="70" zoomScaleNormal="70" workbookViewId="0">
      <selection activeCell="K7" sqref="K7:M7"/>
    </sheetView>
  </sheetViews>
  <sheetFormatPr defaultColWidth="13.42578125" defaultRowHeight="60" customHeight="1" x14ac:dyDescent="0.25"/>
  <cols>
    <col min="1" max="1" width="4" style="156" bestFit="1" customWidth="1"/>
    <col min="2" max="2" width="25.7109375" style="156" bestFit="1" customWidth="1"/>
    <col min="3" max="3" width="24.85546875" style="179" customWidth="1"/>
    <col min="4" max="4" width="25.85546875" style="179" customWidth="1"/>
    <col min="5" max="5" width="21" style="179" customWidth="1"/>
    <col min="6" max="6" width="17.28515625" style="156" bestFit="1" customWidth="1"/>
    <col min="7" max="7" width="14.42578125" style="180" bestFit="1" customWidth="1"/>
    <col min="8" max="8" width="14.7109375" style="181" bestFit="1" customWidth="1"/>
    <col min="9" max="10" width="13.140625" style="181" bestFit="1" customWidth="1"/>
    <col min="11" max="11" width="16.7109375" style="182" customWidth="1"/>
    <col min="12" max="12" width="22.5703125" style="156" customWidth="1"/>
    <col min="13" max="13" width="22.5703125" style="179" customWidth="1"/>
    <col min="14" max="14" width="44.28515625" style="156" customWidth="1"/>
    <col min="15" max="15" width="21" style="156" customWidth="1"/>
    <col min="16" max="16384" width="13.42578125" style="156"/>
  </cols>
  <sheetData>
    <row r="1" spans="1:18" ht="20.25" x14ac:dyDescent="0.25">
      <c r="A1" s="339" t="s">
        <v>949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191" t="s">
        <v>824</v>
      </c>
      <c r="O1" s="192">
        <v>43759</v>
      </c>
    </row>
    <row r="2" spans="1:18" ht="56.25" customHeight="1" x14ac:dyDescent="0.25">
      <c r="A2" s="157" t="s">
        <v>554</v>
      </c>
      <c r="B2" s="204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97" t="s">
        <v>950</v>
      </c>
      <c r="I2" s="198" t="s">
        <v>631</v>
      </c>
      <c r="J2" s="197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8" ht="60" customHeight="1" x14ac:dyDescent="0.25">
      <c r="A3" s="163">
        <v>1</v>
      </c>
      <c r="B3" s="163" t="s">
        <v>560</v>
      </c>
      <c r="C3" s="164" t="s">
        <v>540</v>
      </c>
      <c r="D3" s="164" t="s">
        <v>561</v>
      </c>
      <c r="E3" s="164" t="s">
        <v>889</v>
      </c>
      <c r="F3" s="165" t="s">
        <v>542</v>
      </c>
      <c r="G3" s="166">
        <v>3500</v>
      </c>
      <c r="H3" s="205">
        <v>6184.08</v>
      </c>
      <c r="I3" s="205">
        <f>759.57+246.67</f>
        <v>1006.24</v>
      </c>
      <c r="J3" s="205">
        <f>MIN(H3+I3,G3)</f>
        <v>3500</v>
      </c>
      <c r="K3" s="336" t="s">
        <v>562</v>
      </c>
      <c r="L3" s="337"/>
      <c r="M3" s="338"/>
      <c r="N3" s="164" t="s">
        <v>951</v>
      </c>
      <c r="O3" s="168" t="s">
        <v>952</v>
      </c>
      <c r="Q3" s="181"/>
      <c r="R3" s="181"/>
    </row>
    <row r="4" spans="1:18" ht="60" customHeight="1" x14ac:dyDescent="0.25">
      <c r="A4" s="163">
        <v>2</v>
      </c>
      <c r="B4" s="163" t="s">
        <v>563</v>
      </c>
      <c r="C4" s="164" t="s">
        <v>540</v>
      </c>
      <c r="D4" s="164" t="s">
        <v>561</v>
      </c>
      <c r="E4" s="164" t="s">
        <v>670</v>
      </c>
      <c r="F4" s="165" t="s">
        <v>544</v>
      </c>
      <c r="G4" s="166">
        <v>18</v>
      </c>
      <c r="H4" s="205">
        <v>1785.97</v>
      </c>
      <c r="I4" s="205">
        <f>737.39+246.67</f>
        <v>984.06</v>
      </c>
      <c r="J4" s="205">
        <f t="shared" ref="J4:J14" si="0">MIN(H4+I4,G4)</f>
        <v>18</v>
      </c>
      <c r="K4" s="336" t="s">
        <v>562</v>
      </c>
      <c r="L4" s="337"/>
      <c r="M4" s="338"/>
      <c r="N4" s="164" t="s">
        <v>951</v>
      </c>
      <c r="O4" s="168" t="s">
        <v>952</v>
      </c>
      <c r="Q4" s="181"/>
      <c r="R4" s="181"/>
    </row>
    <row r="5" spans="1:18" ht="60" customHeight="1" x14ac:dyDescent="0.25">
      <c r="A5" s="163">
        <v>3</v>
      </c>
      <c r="B5" s="163" t="s">
        <v>841</v>
      </c>
      <c r="C5" s="164" t="s">
        <v>842</v>
      </c>
      <c r="D5" s="164" t="s">
        <v>843</v>
      </c>
      <c r="E5" s="164" t="s">
        <v>892</v>
      </c>
      <c r="F5" s="163" t="s">
        <v>845</v>
      </c>
      <c r="G5" s="166">
        <v>5960</v>
      </c>
      <c r="H5" s="205">
        <v>1646.24</v>
      </c>
      <c r="I5" s="205">
        <f>1963.14+80.8</f>
        <v>2043.94</v>
      </c>
      <c r="J5" s="205">
        <f t="shared" si="0"/>
        <v>3690.1800000000003</v>
      </c>
      <c r="K5" s="336" t="s">
        <v>562</v>
      </c>
      <c r="L5" s="337"/>
      <c r="M5" s="338"/>
      <c r="N5" s="164" t="s">
        <v>953</v>
      </c>
      <c r="O5" s="168" t="s">
        <v>952</v>
      </c>
      <c r="Q5" s="181"/>
      <c r="R5" s="181"/>
    </row>
    <row r="6" spans="1:18" ht="60" customHeight="1" x14ac:dyDescent="0.25">
      <c r="A6" s="163">
        <v>4</v>
      </c>
      <c r="B6" s="163" t="s">
        <v>851</v>
      </c>
      <c r="C6" s="164" t="s">
        <v>852</v>
      </c>
      <c r="D6" s="164" t="s">
        <v>853</v>
      </c>
      <c r="E6" s="164" t="s">
        <v>854</v>
      </c>
      <c r="F6" s="163" t="s">
        <v>855</v>
      </c>
      <c r="G6" s="166">
        <v>3570</v>
      </c>
      <c r="H6" s="205">
        <v>531.97</v>
      </c>
      <c r="I6" s="205">
        <f>1076.32+80.8</f>
        <v>1157.1199999999999</v>
      </c>
      <c r="J6" s="205">
        <f t="shared" si="0"/>
        <v>1689.09</v>
      </c>
      <c r="K6" s="336" t="s">
        <v>562</v>
      </c>
      <c r="L6" s="337"/>
      <c r="M6" s="338"/>
      <c r="N6" s="164" t="s">
        <v>953</v>
      </c>
      <c r="O6" s="168" t="s">
        <v>952</v>
      </c>
      <c r="Q6" s="181"/>
      <c r="R6" s="181"/>
    </row>
    <row r="7" spans="1:18" ht="60" customHeight="1" x14ac:dyDescent="0.25">
      <c r="A7" s="163">
        <v>5</v>
      </c>
      <c r="B7" s="163" t="s">
        <v>856</v>
      </c>
      <c r="C7" s="164" t="s">
        <v>857</v>
      </c>
      <c r="D7" s="164" t="s">
        <v>858</v>
      </c>
      <c r="E7" s="164" t="s">
        <v>859</v>
      </c>
      <c r="F7" s="163" t="s">
        <v>860</v>
      </c>
      <c r="G7" s="166">
        <v>3490</v>
      </c>
      <c r="H7" s="205">
        <v>773.22</v>
      </c>
      <c r="I7" s="205">
        <f>1046.33+80.79</f>
        <v>1127.1199999999999</v>
      </c>
      <c r="J7" s="205">
        <f t="shared" si="0"/>
        <v>1900.34</v>
      </c>
      <c r="K7" s="336" t="s">
        <v>562</v>
      </c>
      <c r="L7" s="337"/>
      <c r="M7" s="338"/>
      <c r="N7" s="164" t="s">
        <v>953</v>
      </c>
      <c r="O7" s="168" t="s">
        <v>952</v>
      </c>
      <c r="Q7" s="181"/>
      <c r="R7" s="181"/>
    </row>
    <row r="8" spans="1:18" ht="60" customHeight="1" x14ac:dyDescent="0.25">
      <c r="A8" s="163">
        <v>6</v>
      </c>
      <c r="B8" s="163" t="s">
        <v>861</v>
      </c>
      <c r="C8" s="164" t="s">
        <v>954</v>
      </c>
      <c r="D8" s="164" t="s">
        <v>858</v>
      </c>
      <c r="E8" s="164" t="s">
        <v>863</v>
      </c>
      <c r="F8" s="163" t="s">
        <v>864</v>
      </c>
      <c r="G8" s="163">
        <v>2330</v>
      </c>
      <c r="H8" s="163">
        <v>550.38</v>
      </c>
      <c r="I8" s="205">
        <f>1046.33+80.79</f>
        <v>1127.1199999999999</v>
      </c>
      <c r="J8" s="205">
        <f t="shared" si="0"/>
        <v>1677.5</v>
      </c>
      <c r="K8" s="336" t="s">
        <v>562</v>
      </c>
      <c r="L8" s="337"/>
      <c r="M8" s="338"/>
      <c r="N8" s="164" t="s">
        <v>953</v>
      </c>
      <c r="O8" s="168" t="s">
        <v>952</v>
      </c>
      <c r="Q8" s="181"/>
      <c r="R8" s="181"/>
    </row>
    <row r="9" spans="1:18" ht="60" customHeight="1" x14ac:dyDescent="0.25">
      <c r="A9" s="163">
        <v>7</v>
      </c>
      <c r="B9" s="163" t="s">
        <v>875</v>
      </c>
      <c r="C9" s="164" t="s">
        <v>871</v>
      </c>
      <c r="D9" s="164" t="s">
        <v>876</v>
      </c>
      <c r="E9" s="164" t="s">
        <v>877</v>
      </c>
      <c r="F9" s="163" t="s">
        <v>874</v>
      </c>
      <c r="G9" s="166">
        <v>2330</v>
      </c>
      <c r="H9" s="205">
        <v>287.55</v>
      </c>
      <c r="I9" s="205">
        <f>728.27+80.79</f>
        <v>809.06</v>
      </c>
      <c r="J9" s="205">
        <f>MIN(H9+I9,G9)</f>
        <v>1096.6099999999999</v>
      </c>
      <c r="K9" s="336" t="s">
        <v>562</v>
      </c>
      <c r="L9" s="337"/>
      <c r="M9" s="338"/>
      <c r="N9" s="164" t="s">
        <v>953</v>
      </c>
      <c r="O9" s="168" t="s">
        <v>952</v>
      </c>
      <c r="Q9" s="181"/>
      <c r="R9" s="181"/>
    </row>
    <row r="10" spans="1:18" ht="60" customHeight="1" x14ac:dyDescent="0.25">
      <c r="A10" s="163">
        <v>8</v>
      </c>
      <c r="B10" s="163" t="s">
        <v>894</v>
      </c>
      <c r="C10" s="164" t="s">
        <v>955</v>
      </c>
      <c r="D10" s="164" t="s">
        <v>896</v>
      </c>
      <c r="E10" s="164" t="s">
        <v>897</v>
      </c>
      <c r="F10" s="163" t="s">
        <v>898</v>
      </c>
      <c r="G10" s="166">
        <v>1890</v>
      </c>
      <c r="H10" s="205">
        <v>337.12</v>
      </c>
      <c r="I10" s="205">
        <f>2014.64+49.17</f>
        <v>2063.81</v>
      </c>
      <c r="J10" s="205">
        <f t="shared" si="0"/>
        <v>1890</v>
      </c>
      <c r="K10" s="336" t="s">
        <v>562</v>
      </c>
      <c r="L10" s="337"/>
      <c r="M10" s="338"/>
      <c r="N10" s="164" t="s">
        <v>956</v>
      </c>
      <c r="O10" s="168" t="s">
        <v>952</v>
      </c>
      <c r="Q10" s="181"/>
      <c r="R10" s="181"/>
    </row>
    <row r="11" spans="1:18" ht="60" customHeight="1" x14ac:dyDescent="0.25">
      <c r="A11" s="163">
        <v>9</v>
      </c>
      <c r="B11" s="163" t="s">
        <v>899</v>
      </c>
      <c r="C11" s="164" t="s">
        <v>957</v>
      </c>
      <c r="D11" s="164" t="s">
        <v>901</v>
      </c>
      <c r="E11" s="164" t="s">
        <v>902</v>
      </c>
      <c r="F11" s="163" t="s">
        <v>903</v>
      </c>
      <c r="G11" s="166">
        <v>2000</v>
      </c>
      <c r="H11" s="205">
        <v>747.53</v>
      </c>
      <c r="I11" s="205">
        <f>1084.27+49.17</f>
        <v>1133.44</v>
      </c>
      <c r="J11" s="205">
        <f t="shared" si="0"/>
        <v>1880.97</v>
      </c>
      <c r="K11" s="336" t="s">
        <v>562</v>
      </c>
      <c r="L11" s="337"/>
      <c r="M11" s="338"/>
      <c r="N11" s="164" t="s">
        <v>956</v>
      </c>
      <c r="O11" s="168" t="s">
        <v>952</v>
      </c>
      <c r="Q11" s="181"/>
      <c r="R11" s="181"/>
    </row>
    <row r="12" spans="1:18" ht="60" customHeight="1" x14ac:dyDescent="0.25">
      <c r="A12" s="163">
        <v>10</v>
      </c>
      <c r="B12" s="163" t="s">
        <v>926</v>
      </c>
      <c r="C12" s="164" t="s">
        <v>927</v>
      </c>
      <c r="D12" s="164" t="s">
        <v>928</v>
      </c>
      <c r="E12" s="169" t="s">
        <v>929</v>
      </c>
      <c r="F12" s="163" t="s">
        <v>930</v>
      </c>
      <c r="G12" s="166">
        <v>2330</v>
      </c>
      <c r="H12" s="205">
        <v>206.37</v>
      </c>
      <c r="I12" s="205">
        <f>1041.56+49.16</f>
        <v>1090.72</v>
      </c>
      <c r="J12" s="205">
        <f t="shared" si="0"/>
        <v>1297.0900000000001</v>
      </c>
      <c r="K12" s="336" t="s">
        <v>562</v>
      </c>
      <c r="L12" s="337"/>
      <c r="M12" s="338"/>
      <c r="N12" s="164" t="s">
        <v>956</v>
      </c>
      <c r="O12" s="168" t="s">
        <v>952</v>
      </c>
      <c r="Q12" s="181"/>
      <c r="R12" s="181"/>
    </row>
    <row r="13" spans="1:18" ht="56.25" customHeight="1" x14ac:dyDescent="0.25">
      <c r="A13" s="163">
        <v>11</v>
      </c>
      <c r="B13" s="163" t="s">
        <v>958</v>
      </c>
      <c r="C13" s="164" t="s">
        <v>959</v>
      </c>
      <c r="D13" s="164" t="s">
        <v>960</v>
      </c>
      <c r="E13" s="164" t="s">
        <v>877</v>
      </c>
      <c r="F13" s="163" t="s">
        <v>961</v>
      </c>
      <c r="G13" s="166">
        <v>2330</v>
      </c>
      <c r="H13" s="205">
        <v>417.48</v>
      </c>
      <c r="I13" s="205">
        <f>1088.66+24</f>
        <v>1112.6600000000001</v>
      </c>
      <c r="J13" s="205">
        <f t="shared" si="0"/>
        <v>1530.14</v>
      </c>
      <c r="K13" s="342" t="s">
        <v>758</v>
      </c>
      <c r="L13" s="343"/>
      <c r="M13" s="344"/>
      <c r="N13" s="163" t="s">
        <v>289</v>
      </c>
      <c r="O13" s="168" t="s">
        <v>952</v>
      </c>
      <c r="P13" s="171"/>
      <c r="Q13" s="181"/>
      <c r="R13" s="181"/>
    </row>
    <row r="14" spans="1:18" ht="56.25" customHeight="1" x14ac:dyDescent="0.25">
      <c r="A14" s="163">
        <v>12</v>
      </c>
      <c r="B14" s="163" t="s">
        <v>962</v>
      </c>
      <c r="C14" s="164" t="s">
        <v>963</v>
      </c>
      <c r="D14" s="164" t="s">
        <v>964</v>
      </c>
      <c r="E14" s="164" t="s">
        <v>965</v>
      </c>
      <c r="F14" s="163" t="s">
        <v>966</v>
      </c>
      <c r="G14" s="166">
        <v>2980</v>
      </c>
      <c r="H14" s="205">
        <v>415.73</v>
      </c>
      <c r="I14" s="205">
        <f>1049.92+24</f>
        <v>1073.92</v>
      </c>
      <c r="J14" s="205">
        <f t="shared" si="0"/>
        <v>1489.65</v>
      </c>
      <c r="K14" s="342" t="s">
        <v>758</v>
      </c>
      <c r="L14" s="343"/>
      <c r="M14" s="344"/>
      <c r="N14" s="164" t="s">
        <v>289</v>
      </c>
      <c r="O14" s="168" t="s">
        <v>952</v>
      </c>
      <c r="P14" s="171"/>
      <c r="Q14" s="181"/>
      <c r="R14" s="181"/>
    </row>
    <row r="15" spans="1:18" s="171" customFormat="1" ht="15.75" x14ac:dyDescent="0.25">
      <c r="A15" s="349" t="s">
        <v>645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Q15" s="181"/>
      <c r="R15" s="181"/>
    </row>
    <row r="16" spans="1:18" ht="20.25" x14ac:dyDescent="0.25">
      <c r="A16" s="350" t="str">
        <f>A1</f>
        <v>CURRENT LIST OF FORFEITED PARCELS          DATE:  OCTOBER 18 2019 AT 10:30AM      COSHOCTON COUNTY COURTHOUSE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191" t="s">
        <v>824</v>
      </c>
      <c r="O16" s="192">
        <f>O1</f>
        <v>43759</v>
      </c>
      <c r="Q16" s="181"/>
      <c r="R16" s="181"/>
    </row>
    <row r="17" spans="1:18" ht="56.25" customHeight="1" x14ac:dyDescent="0.25">
      <c r="A17" s="157" t="s">
        <v>554</v>
      </c>
      <c r="B17" s="204" t="s">
        <v>3</v>
      </c>
      <c r="C17" s="157" t="s">
        <v>4</v>
      </c>
      <c r="D17" s="157" t="s">
        <v>5</v>
      </c>
      <c r="E17" s="157" t="s">
        <v>666</v>
      </c>
      <c r="F17" s="157" t="s">
        <v>6</v>
      </c>
      <c r="G17" s="159" t="s">
        <v>7</v>
      </c>
      <c r="H17" s="197" t="str">
        <f>H2</f>
        <v>* 09/20/2019
TAX DUE *</v>
      </c>
      <c r="I17" s="198" t="s">
        <v>631</v>
      </c>
      <c r="J17" s="197" t="s">
        <v>632</v>
      </c>
      <c r="K17" s="162" t="s">
        <v>11</v>
      </c>
      <c r="L17" s="157" t="s">
        <v>12</v>
      </c>
      <c r="M17" s="157" t="s">
        <v>13</v>
      </c>
      <c r="N17" s="157" t="s">
        <v>14</v>
      </c>
      <c r="O17" s="157" t="s">
        <v>15</v>
      </c>
      <c r="P17" s="171"/>
      <c r="Q17" s="181"/>
      <c r="R17" s="181"/>
    </row>
    <row r="18" spans="1:18" ht="56.25" customHeight="1" x14ac:dyDescent="0.25">
      <c r="A18" s="163">
        <v>13</v>
      </c>
      <c r="B18" s="163" t="s">
        <v>967</v>
      </c>
      <c r="C18" s="164" t="s">
        <v>968</v>
      </c>
      <c r="D18" s="164" t="s">
        <v>969</v>
      </c>
      <c r="E18" s="164" t="s">
        <v>970</v>
      </c>
      <c r="F18" s="163" t="s">
        <v>971</v>
      </c>
      <c r="G18" s="166">
        <v>4650</v>
      </c>
      <c r="H18" s="205">
        <v>469.01</v>
      </c>
      <c r="I18" s="205">
        <f>1044.1+24</f>
        <v>1068.0999999999999</v>
      </c>
      <c r="J18" s="205">
        <f>MIN(H18+I18,G18)</f>
        <v>1537.11</v>
      </c>
      <c r="K18" s="342" t="s">
        <v>758</v>
      </c>
      <c r="L18" s="343"/>
      <c r="M18" s="344"/>
      <c r="N18" s="164" t="s">
        <v>289</v>
      </c>
      <c r="O18" s="168" t="s">
        <v>952</v>
      </c>
      <c r="P18" s="171"/>
      <c r="Q18" s="181"/>
      <c r="R18" s="181"/>
    </row>
    <row r="19" spans="1:18" ht="56.25" customHeight="1" x14ac:dyDescent="0.25">
      <c r="A19" s="163">
        <v>14</v>
      </c>
      <c r="B19" s="163" t="s">
        <v>972</v>
      </c>
      <c r="C19" s="164" t="s">
        <v>973</v>
      </c>
      <c r="D19" s="164" t="s">
        <v>974</v>
      </c>
      <c r="E19" s="164" t="s">
        <v>839</v>
      </c>
      <c r="F19" s="163" t="s">
        <v>975</v>
      </c>
      <c r="G19" s="166">
        <v>51540</v>
      </c>
      <c r="H19" s="205">
        <v>8888.24</v>
      </c>
      <c r="I19" s="205">
        <f>1142.01+24</f>
        <v>1166.01</v>
      </c>
      <c r="J19" s="205">
        <f t="shared" ref="J19:J23" si="1">MIN(H19+I19,G19)</f>
        <v>10054.25</v>
      </c>
      <c r="K19" s="205">
        <v>1</v>
      </c>
      <c r="L19" s="200" t="s">
        <v>1007</v>
      </c>
      <c r="M19" s="105" t="s">
        <v>120</v>
      </c>
      <c r="N19" s="164" t="s">
        <v>289</v>
      </c>
      <c r="O19" s="168" t="s">
        <v>952</v>
      </c>
      <c r="P19" s="171"/>
      <c r="Q19" s="181"/>
      <c r="R19" s="181"/>
    </row>
    <row r="20" spans="1:18" ht="56.25" customHeight="1" x14ac:dyDescent="0.25">
      <c r="A20" s="163">
        <v>15</v>
      </c>
      <c r="B20" s="163" t="s">
        <v>976</v>
      </c>
      <c r="C20" s="164" t="s">
        <v>973</v>
      </c>
      <c r="D20" s="164" t="s">
        <v>974</v>
      </c>
      <c r="E20" s="164" t="s">
        <v>839</v>
      </c>
      <c r="F20" s="163" t="s">
        <v>977</v>
      </c>
      <c r="G20" s="166">
        <v>3890</v>
      </c>
      <c r="H20" s="205">
        <v>408.08</v>
      </c>
      <c r="I20" s="205">
        <f>1139.89+24</f>
        <v>1163.8900000000001</v>
      </c>
      <c r="J20" s="205">
        <f t="shared" si="1"/>
        <v>1571.97</v>
      </c>
      <c r="K20" s="205">
        <v>1</v>
      </c>
      <c r="L20" s="200" t="s">
        <v>1007</v>
      </c>
      <c r="M20" s="105" t="s">
        <v>120</v>
      </c>
      <c r="N20" s="164" t="s">
        <v>289</v>
      </c>
      <c r="O20" s="168" t="s">
        <v>952</v>
      </c>
      <c r="P20" s="171"/>
      <c r="Q20" s="181"/>
      <c r="R20" s="181"/>
    </row>
    <row r="21" spans="1:18" ht="56.25" customHeight="1" x14ac:dyDescent="0.25">
      <c r="A21" s="163">
        <v>16</v>
      </c>
      <c r="B21" s="163" t="s">
        <v>978</v>
      </c>
      <c r="C21" s="164" t="s">
        <v>973</v>
      </c>
      <c r="D21" s="164" t="s">
        <v>979</v>
      </c>
      <c r="E21" s="169" t="s">
        <v>839</v>
      </c>
      <c r="F21" s="163" t="s">
        <v>980</v>
      </c>
      <c r="G21" s="166">
        <v>42970</v>
      </c>
      <c r="H21" s="205">
        <v>7395.02</v>
      </c>
      <c r="I21" s="205">
        <f>1136.01+24</f>
        <v>1160.01</v>
      </c>
      <c r="J21" s="205">
        <f t="shared" si="1"/>
        <v>8555.0300000000007</v>
      </c>
      <c r="K21" s="205">
        <v>3</v>
      </c>
      <c r="L21" s="200" t="s">
        <v>1007</v>
      </c>
      <c r="M21" s="200" t="s">
        <v>1008</v>
      </c>
      <c r="N21" s="164" t="s">
        <v>289</v>
      </c>
      <c r="O21" s="168" t="s">
        <v>952</v>
      </c>
      <c r="P21" s="171"/>
      <c r="Q21" s="181"/>
      <c r="R21" s="181"/>
    </row>
    <row r="22" spans="1:18" ht="56.25" customHeight="1" x14ac:dyDescent="0.25">
      <c r="A22" s="163">
        <v>17</v>
      </c>
      <c r="B22" s="163" t="s">
        <v>981</v>
      </c>
      <c r="C22" s="164" t="s">
        <v>973</v>
      </c>
      <c r="D22" s="164" t="s">
        <v>982</v>
      </c>
      <c r="E22" s="169" t="s">
        <v>839</v>
      </c>
      <c r="F22" s="163" t="s">
        <v>983</v>
      </c>
      <c r="G22" s="166">
        <v>13130</v>
      </c>
      <c r="H22" s="205">
        <v>2260.9699999999998</v>
      </c>
      <c r="I22" s="205">
        <f>1133.01+24</f>
        <v>1157.01</v>
      </c>
      <c r="J22" s="205">
        <f t="shared" si="1"/>
        <v>3417.9799999999996</v>
      </c>
      <c r="K22" s="205">
        <v>60</v>
      </c>
      <c r="L22" s="200" t="s">
        <v>1008</v>
      </c>
      <c r="M22" s="200" t="s">
        <v>1007</v>
      </c>
      <c r="N22" s="163" t="s">
        <v>289</v>
      </c>
      <c r="O22" s="168" t="s">
        <v>952</v>
      </c>
      <c r="P22" s="171"/>
      <c r="Q22" s="181"/>
      <c r="R22" s="181"/>
    </row>
    <row r="23" spans="1:18" ht="56.25" customHeight="1" x14ac:dyDescent="0.25">
      <c r="A23" s="163">
        <v>18</v>
      </c>
      <c r="B23" s="163" t="s">
        <v>984</v>
      </c>
      <c r="C23" s="164" t="s">
        <v>985</v>
      </c>
      <c r="D23" s="164" t="s">
        <v>986</v>
      </c>
      <c r="E23" s="164" t="s">
        <v>987</v>
      </c>
      <c r="F23" s="163" t="s">
        <v>988</v>
      </c>
      <c r="G23" s="166">
        <v>6480</v>
      </c>
      <c r="H23" s="190">
        <v>964.13</v>
      </c>
      <c r="I23" s="205">
        <f>2333.47+24</f>
        <v>2357.4699999999998</v>
      </c>
      <c r="J23" s="205">
        <f t="shared" si="1"/>
        <v>3321.6</v>
      </c>
      <c r="K23" s="205">
        <v>1</v>
      </c>
      <c r="L23" s="200" t="s">
        <v>1006</v>
      </c>
      <c r="M23" s="105" t="s">
        <v>120</v>
      </c>
      <c r="N23" s="164" t="s">
        <v>289</v>
      </c>
      <c r="O23" s="168" t="s">
        <v>952</v>
      </c>
      <c r="P23" s="171"/>
      <c r="Q23" s="181"/>
      <c r="R23" s="181"/>
    </row>
    <row r="24" spans="1:18" ht="56.25" customHeight="1" x14ac:dyDescent="0.25">
      <c r="A24" s="163">
        <v>19</v>
      </c>
      <c r="B24" s="163" t="s">
        <v>989</v>
      </c>
      <c r="C24" s="164" t="s">
        <v>990</v>
      </c>
      <c r="D24" s="164" t="s">
        <v>991</v>
      </c>
      <c r="E24" s="164" t="s">
        <v>992</v>
      </c>
      <c r="F24" s="163" t="s">
        <v>993</v>
      </c>
      <c r="G24" s="166">
        <v>1400</v>
      </c>
      <c r="H24" s="208">
        <v>157.88999999999999</v>
      </c>
      <c r="I24" s="168" t="s">
        <v>304</v>
      </c>
      <c r="J24" s="168" t="s">
        <v>304</v>
      </c>
      <c r="K24" s="105" t="s">
        <v>120</v>
      </c>
      <c r="L24" s="105" t="s">
        <v>120</v>
      </c>
      <c r="M24" s="105" t="s">
        <v>120</v>
      </c>
      <c r="N24" s="164" t="s">
        <v>994</v>
      </c>
      <c r="O24" s="168" t="s">
        <v>304</v>
      </c>
      <c r="P24" s="171"/>
      <c r="Q24" s="181"/>
      <c r="R24" s="181"/>
    </row>
    <row r="25" spans="1:18" ht="56.25" customHeight="1" x14ac:dyDescent="0.25">
      <c r="A25" s="163">
        <v>20</v>
      </c>
      <c r="B25" s="163" t="s">
        <v>995</v>
      </c>
      <c r="C25" s="164" t="s">
        <v>996</v>
      </c>
      <c r="D25" s="164" t="s">
        <v>997</v>
      </c>
      <c r="E25" s="164" t="s">
        <v>998</v>
      </c>
      <c r="F25" s="163" t="s">
        <v>999</v>
      </c>
      <c r="G25" s="205">
        <v>140</v>
      </c>
      <c r="H25" s="208">
        <v>217.81</v>
      </c>
      <c r="I25" s="168" t="s">
        <v>304</v>
      </c>
      <c r="J25" s="168" t="s">
        <v>304</v>
      </c>
      <c r="K25" s="105" t="s">
        <v>120</v>
      </c>
      <c r="L25" s="105" t="s">
        <v>120</v>
      </c>
      <c r="M25" s="105" t="s">
        <v>120</v>
      </c>
      <c r="N25" s="164" t="s">
        <v>994</v>
      </c>
      <c r="O25" s="168" t="s">
        <v>304</v>
      </c>
      <c r="P25" s="171"/>
      <c r="Q25" s="181"/>
      <c r="R25" s="181"/>
    </row>
    <row r="26" spans="1:18" ht="56.25" customHeight="1" x14ac:dyDescent="0.25">
      <c r="A26" s="163">
        <v>21</v>
      </c>
      <c r="B26" s="163" t="s">
        <v>1000</v>
      </c>
      <c r="C26" s="164" t="s">
        <v>1001</v>
      </c>
      <c r="D26" s="164" t="s">
        <v>1002</v>
      </c>
      <c r="E26" s="164" t="s">
        <v>1003</v>
      </c>
      <c r="F26" s="163" t="s">
        <v>1004</v>
      </c>
      <c r="G26" s="166">
        <v>10</v>
      </c>
      <c r="H26" s="168" t="s">
        <v>1005</v>
      </c>
      <c r="I26" s="168" t="s">
        <v>304</v>
      </c>
      <c r="J26" s="168" t="s">
        <v>304</v>
      </c>
      <c r="K26" s="105" t="s">
        <v>120</v>
      </c>
      <c r="L26" s="105" t="s">
        <v>120</v>
      </c>
      <c r="M26" s="105" t="s">
        <v>120</v>
      </c>
      <c r="N26" s="164" t="s">
        <v>994</v>
      </c>
      <c r="O26" s="168" t="s">
        <v>304</v>
      </c>
      <c r="Q26" s="181"/>
      <c r="R26" s="181"/>
    </row>
    <row r="27" spans="1:18" ht="56.25" customHeight="1" x14ac:dyDescent="0.25">
      <c r="A27" s="163">
        <v>22</v>
      </c>
      <c r="B27" s="163"/>
      <c r="C27" s="164"/>
      <c r="D27" s="164"/>
      <c r="E27" s="164"/>
      <c r="F27" s="163"/>
      <c r="G27" s="166"/>
      <c r="H27" s="205"/>
      <c r="I27" s="205"/>
      <c r="J27" s="205"/>
      <c r="K27" s="205"/>
      <c r="L27" s="194"/>
      <c r="M27" s="201"/>
      <c r="N27" s="164"/>
      <c r="O27" s="168"/>
      <c r="Q27" s="181"/>
      <c r="R27" s="181"/>
    </row>
    <row r="28" spans="1:18" ht="56.25" customHeight="1" x14ac:dyDescent="0.25">
      <c r="A28" s="163">
        <v>23</v>
      </c>
      <c r="B28" s="163"/>
      <c r="C28" s="164"/>
      <c r="D28" s="164"/>
      <c r="E28" s="169"/>
      <c r="F28" s="163"/>
      <c r="G28" s="166"/>
      <c r="H28" s="205"/>
      <c r="I28" s="205"/>
      <c r="J28" s="205"/>
      <c r="K28" s="205"/>
      <c r="L28" s="205"/>
      <c r="M28" s="205"/>
      <c r="N28" s="164"/>
      <c r="O28" s="168"/>
      <c r="Q28" s="181"/>
      <c r="R28" s="181"/>
    </row>
    <row r="29" spans="1:18" ht="56.25" customHeight="1" x14ac:dyDescent="0.25">
      <c r="A29" s="163">
        <v>24</v>
      </c>
      <c r="B29" s="163"/>
      <c r="C29" s="164"/>
      <c r="D29" s="164"/>
      <c r="E29" s="164"/>
      <c r="F29" s="163"/>
      <c r="G29" s="166"/>
      <c r="H29" s="205"/>
      <c r="I29" s="205"/>
      <c r="J29" s="205"/>
      <c r="K29" s="205"/>
      <c r="L29" s="205"/>
      <c r="M29" s="202"/>
      <c r="N29" s="164"/>
      <c r="O29" s="168"/>
      <c r="Q29" s="181"/>
      <c r="R29" s="181"/>
    </row>
    <row r="30" spans="1:18" ht="15.75" x14ac:dyDescent="0.25">
      <c r="A30" s="349" t="s">
        <v>645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171"/>
    </row>
    <row r="31" spans="1:18" ht="56.25" customHeight="1" x14ac:dyDescent="0.25">
      <c r="C31" s="156"/>
      <c r="D31" s="156"/>
      <c r="E31" s="156"/>
      <c r="G31" s="156"/>
      <c r="H31" s="156"/>
      <c r="I31" s="156"/>
      <c r="Q31" s="181"/>
    </row>
    <row r="32" spans="1:18" ht="56.25" customHeight="1" x14ac:dyDescent="0.25">
      <c r="C32" s="156"/>
      <c r="D32" s="156"/>
      <c r="E32" s="156"/>
      <c r="G32" s="156"/>
      <c r="H32" s="156"/>
      <c r="I32" s="156"/>
      <c r="J32" s="156"/>
    </row>
    <row r="33" spans="7:11" s="156" customFormat="1" ht="56.25" customHeight="1" x14ac:dyDescent="0.25">
      <c r="G33" s="193"/>
      <c r="H33" s="193"/>
      <c r="I33" s="193"/>
      <c r="J33" s="193"/>
      <c r="K33" s="193"/>
    </row>
    <row r="34" spans="7:11" s="156" customFormat="1" ht="56.25" customHeight="1" x14ac:dyDescent="0.25">
      <c r="K34" s="182"/>
    </row>
    <row r="35" spans="7:11" s="156" customFormat="1" ht="56.25" customHeight="1" x14ac:dyDescent="0.25">
      <c r="K35" s="182"/>
    </row>
    <row r="36" spans="7:11" s="156" customFormat="1" ht="56.25" customHeight="1" x14ac:dyDescent="0.25">
      <c r="K36" s="182"/>
    </row>
    <row r="37" spans="7:11" s="156" customFormat="1" ht="56.25" customHeight="1" x14ac:dyDescent="0.25">
      <c r="K37" s="182"/>
    </row>
    <row r="38" spans="7:11" s="156" customFormat="1" ht="56.25" customHeight="1" x14ac:dyDescent="0.25">
      <c r="K38" s="182"/>
    </row>
    <row r="39" spans="7:11" s="156" customFormat="1" ht="56.25" customHeight="1" x14ac:dyDescent="0.25">
      <c r="K39" s="182"/>
    </row>
    <row r="40" spans="7:11" s="156" customFormat="1" ht="56.25" customHeight="1" x14ac:dyDescent="0.25">
      <c r="K40" s="182"/>
    </row>
    <row r="41" spans="7:11" s="156" customFormat="1" ht="56.25" customHeight="1" x14ac:dyDescent="0.25">
      <c r="K41" s="182"/>
    </row>
    <row r="42" spans="7:11" s="156" customFormat="1" ht="56.25" customHeight="1" x14ac:dyDescent="0.25">
      <c r="K42" s="182"/>
    </row>
    <row r="43" spans="7:11" s="156" customFormat="1" ht="56.25" customHeight="1" x14ac:dyDescent="0.25">
      <c r="K43" s="182"/>
    </row>
    <row r="44" spans="7:11" s="156" customFormat="1" ht="56.25" customHeight="1" x14ac:dyDescent="0.25">
      <c r="K44" s="182"/>
    </row>
    <row r="45" spans="7:11" s="156" customFormat="1" ht="56.25" customHeight="1" x14ac:dyDescent="0.25">
      <c r="K45" s="182"/>
    </row>
    <row r="46" spans="7:11" s="156" customFormat="1" ht="56.25" customHeight="1" x14ac:dyDescent="0.25">
      <c r="K46" s="182"/>
    </row>
    <row r="47" spans="7:11" s="156" customFormat="1" ht="56.25" customHeight="1" x14ac:dyDescent="0.25">
      <c r="K47" s="182"/>
    </row>
    <row r="48" spans="7:11" s="156" customFormat="1" ht="56.25" customHeight="1" x14ac:dyDescent="0.25">
      <c r="K48" s="182"/>
    </row>
    <row r="49" s="156" customFormat="1" ht="56.25" customHeight="1" x14ac:dyDescent="0.25"/>
    <row r="50" s="156" customFormat="1" ht="56.25" customHeight="1" x14ac:dyDescent="0.25"/>
    <row r="51" s="156" customFormat="1" ht="56.25" customHeight="1" x14ac:dyDescent="0.25"/>
    <row r="52" s="156" customFormat="1" ht="56.25" customHeight="1" x14ac:dyDescent="0.25"/>
    <row r="53" s="156" customFormat="1" ht="56.25" customHeight="1" x14ac:dyDescent="0.25"/>
    <row r="54" s="156" customFormat="1" ht="56.25" customHeight="1" x14ac:dyDescent="0.25"/>
    <row r="55" s="156" customFormat="1" ht="56.25" customHeight="1" x14ac:dyDescent="0.25"/>
    <row r="56" s="156" customFormat="1" ht="56.25" customHeight="1" x14ac:dyDescent="0.25"/>
    <row r="57" s="156" customFormat="1" ht="56.25" customHeight="1" x14ac:dyDescent="0.25"/>
    <row r="58" s="156" customFormat="1" ht="56.25" customHeight="1" x14ac:dyDescent="0.25"/>
    <row r="59" s="156" customFormat="1" ht="56.25" customHeight="1" x14ac:dyDescent="0.25"/>
    <row r="60" s="156" customFormat="1" ht="56.25" customHeight="1" x14ac:dyDescent="0.25"/>
    <row r="61" s="156" customFormat="1" ht="56.25" customHeight="1" x14ac:dyDescent="0.25"/>
    <row r="62" s="156" customFormat="1" ht="56.25" customHeight="1" x14ac:dyDescent="0.25"/>
    <row r="63" s="156" customFormat="1" ht="56.25" customHeight="1" x14ac:dyDescent="0.25"/>
    <row r="64" s="156" customFormat="1" ht="56.25" customHeight="1" x14ac:dyDescent="0.25"/>
    <row r="65" s="156" customFormat="1" ht="56.25" customHeight="1" x14ac:dyDescent="0.25"/>
    <row r="66" s="156" customFormat="1" ht="56.25" customHeight="1" x14ac:dyDescent="0.25"/>
    <row r="67" s="156" customFormat="1" ht="56.25" customHeight="1" x14ac:dyDescent="0.25"/>
    <row r="68" s="156" customFormat="1" ht="56.25" customHeight="1" x14ac:dyDescent="0.25"/>
    <row r="69" s="156" customFormat="1" ht="56.25" customHeight="1" x14ac:dyDescent="0.25"/>
    <row r="70" s="156" customFormat="1" ht="56.25" customHeight="1" x14ac:dyDescent="0.25"/>
    <row r="71" s="156" customFormat="1" ht="56.25" customHeight="1" x14ac:dyDescent="0.25"/>
    <row r="72" s="156" customFormat="1" ht="56.25" customHeight="1" x14ac:dyDescent="0.25"/>
    <row r="73" s="156" customFormat="1" ht="56.25" customHeight="1" x14ac:dyDescent="0.25"/>
    <row r="74" s="156" customFormat="1" ht="56.25" customHeight="1" x14ac:dyDescent="0.25"/>
    <row r="75" s="156" customFormat="1" ht="56.25" customHeight="1" x14ac:dyDescent="0.25"/>
    <row r="76" s="156" customFormat="1" ht="56.25" customHeight="1" x14ac:dyDescent="0.25"/>
    <row r="77" s="156" customFormat="1" ht="56.25" customHeight="1" x14ac:dyDescent="0.25"/>
    <row r="78" s="156" customFormat="1" ht="56.25" customHeight="1" x14ac:dyDescent="0.25"/>
    <row r="79" s="156" customFormat="1" ht="56.25" customHeight="1" x14ac:dyDescent="0.25"/>
    <row r="80" s="156" customFormat="1" ht="56.25" customHeight="1" x14ac:dyDescent="0.25"/>
    <row r="81" s="156" customFormat="1" ht="56.25" customHeight="1" x14ac:dyDescent="0.25"/>
    <row r="82" s="156" customFormat="1" ht="56.25" customHeight="1" x14ac:dyDescent="0.25"/>
    <row r="83" s="156" customFormat="1" ht="56.25" customHeight="1" x14ac:dyDescent="0.25"/>
    <row r="84" s="156" customFormat="1" ht="56.25" customHeight="1" x14ac:dyDescent="0.25"/>
    <row r="85" s="156" customFormat="1" ht="56.25" customHeight="1" x14ac:dyDescent="0.25"/>
    <row r="86" s="156" customFormat="1" ht="56.25" customHeight="1" x14ac:dyDescent="0.25"/>
    <row r="87" s="156" customFormat="1" ht="56.25" customHeight="1" x14ac:dyDescent="0.25"/>
    <row r="88" s="156" customFormat="1" ht="56.25" customHeight="1" x14ac:dyDescent="0.25"/>
    <row r="89" s="156" customFormat="1" ht="56.25" customHeight="1" x14ac:dyDescent="0.25"/>
    <row r="90" s="156" customFormat="1" ht="56.25" customHeight="1" x14ac:dyDescent="0.25"/>
    <row r="91" s="156" customFormat="1" ht="56.25" customHeight="1" x14ac:dyDescent="0.25"/>
    <row r="92" s="156" customFormat="1" ht="56.25" customHeight="1" x14ac:dyDescent="0.25"/>
    <row r="93" s="156" customFormat="1" ht="56.25" customHeight="1" x14ac:dyDescent="0.25"/>
    <row r="94" s="156" customFormat="1" ht="56.25" customHeight="1" x14ac:dyDescent="0.25"/>
    <row r="95" s="156" customFormat="1" ht="56.25" customHeight="1" x14ac:dyDescent="0.25"/>
    <row r="96" s="156" customFormat="1" ht="56.25" customHeight="1" x14ac:dyDescent="0.25"/>
    <row r="97" s="156" customFormat="1" ht="56.25" customHeight="1" x14ac:dyDescent="0.25"/>
    <row r="98" s="156" customFormat="1" ht="56.25" customHeight="1" x14ac:dyDescent="0.25"/>
    <row r="99" s="156" customFormat="1" ht="56.25" customHeight="1" x14ac:dyDescent="0.25"/>
    <row r="100" s="156" customFormat="1" ht="56.25" customHeight="1" x14ac:dyDescent="0.25"/>
    <row r="101" s="156" customFormat="1" ht="56.25" customHeight="1" x14ac:dyDescent="0.25"/>
    <row r="102" s="156" customFormat="1" ht="56.25" customHeight="1" x14ac:dyDescent="0.25"/>
    <row r="103" s="156" customFormat="1" ht="56.25" customHeight="1" x14ac:dyDescent="0.25"/>
    <row r="104" s="156" customFormat="1" ht="56.25" customHeight="1" x14ac:dyDescent="0.25"/>
    <row r="105" s="156" customFormat="1" ht="56.25" customHeight="1" x14ac:dyDescent="0.25"/>
    <row r="106" s="156" customFormat="1" ht="56.25" customHeight="1" x14ac:dyDescent="0.25"/>
    <row r="107" s="156" customFormat="1" ht="56.25" customHeight="1" x14ac:dyDescent="0.25"/>
    <row r="108" s="156" customFormat="1" ht="56.25" customHeight="1" x14ac:dyDescent="0.25"/>
    <row r="109" s="156" customFormat="1" ht="56.25" customHeight="1" x14ac:dyDescent="0.25"/>
    <row r="110" s="156" customFormat="1" ht="56.25" customHeight="1" x14ac:dyDescent="0.25"/>
    <row r="111" s="156" customFormat="1" ht="56.25" customHeight="1" x14ac:dyDescent="0.25"/>
    <row r="112" s="156" customFormat="1" ht="56.25" customHeight="1" x14ac:dyDescent="0.25"/>
    <row r="113" s="156" customFormat="1" ht="56.25" customHeight="1" x14ac:dyDescent="0.25"/>
    <row r="114" s="156" customFormat="1" ht="56.25" customHeight="1" x14ac:dyDescent="0.25"/>
    <row r="115" s="156" customFormat="1" ht="56.25" customHeight="1" x14ac:dyDescent="0.25"/>
    <row r="116" s="156" customFormat="1" ht="56.25" customHeight="1" x14ac:dyDescent="0.25"/>
    <row r="117" s="156" customFormat="1" ht="56.25" customHeight="1" x14ac:dyDescent="0.25"/>
    <row r="118" s="156" customFormat="1" ht="56.25" customHeight="1" x14ac:dyDescent="0.25"/>
    <row r="119" s="156" customFormat="1" ht="56.25" customHeight="1" x14ac:dyDescent="0.25"/>
    <row r="120" s="156" customFormat="1" ht="56.25" customHeight="1" x14ac:dyDescent="0.25"/>
    <row r="121" s="156" customFormat="1" ht="56.25" customHeight="1" x14ac:dyDescent="0.25"/>
    <row r="122" s="156" customFormat="1" ht="56.25" customHeight="1" x14ac:dyDescent="0.25"/>
    <row r="123" s="156" customFormat="1" ht="56.25" customHeight="1" x14ac:dyDescent="0.25"/>
    <row r="124" s="156" customFormat="1" ht="56.25" customHeight="1" x14ac:dyDescent="0.25"/>
    <row r="125" s="156" customFormat="1" ht="56.25" customHeight="1" x14ac:dyDescent="0.25"/>
    <row r="126" s="156" customFormat="1" ht="56.25" customHeight="1" x14ac:dyDescent="0.25"/>
    <row r="127" s="156" customFormat="1" ht="56.25" customHeight="1" x14ac:dyDescent="0.25"/>
    <row r="128" s="156" customFormat="1" ht="56.25" customHeight="1" x14ac:dyDescent="0.25"/>
    <row r="129" s="156" customFormat="1" ht="56.25" customHeight="1" x14ac:dyDescent="0.25"/>
    <row r="130" s="156" customFormat="1" ht="56.25" customHeight="1" x14ac:dyDescent="0.25"/>
    <row r="131" s="156" customFormat="1" ht="56.25" customHeight="1" x14ac:dyDescent="0.25"/>
    <row r="132" s="156" customFormat="1" ht="56.25" customHeight="1" x14ac:dyDescent="0.25"/>
    <row r="133" s="156" customFormat="1" ht="56.25" customHeight="1" x14ac:dyDescent="0.25"/>
    <row r="134" s="156" customFormat="1" ht="56.25" customHeight="1" x14ac:dyDescent="0.25"/>
    <row r="135" s="156" customFormat="1" ht="56.25" customHeight="1" x14ac:dyDescent="0.25"/>
    <row r="136" s="156" customFormat="1" ht="56.25" customHeight="1" x14ac:dyDescent="0.25"/>
    <row r="137" s="156" customFormat="1" ht="56.25" customHeight="1" x14ac:dyDescent="0.25"/>
    <row r="138" s="156" customFormat="1" ht="56.25" customHeight="1" x14ac:dyDescent="0.25"/>
    <row r="139" s="156" customFormat="1" ht="56.25" customHeight="1" x14ac:dyDescent="0.25"/>
    <row r="140" s="156" customFormat="1" ht="56.25" customHeight="1" x14ac:dyDescent="0.25"/>
    <row r="141" s="156" customFormat="1" ht="56.25" customHeight="1" x14ac:dyDescent="0.25"/>
    <row r="142" s="156" customFormat="1" ht="56.25" customHeight="1" x14ac:dyDescent="0.25"/>
    <row r="143" s="156" customFormat="1" ht="56.25" customHeight="1" x14ac:dyDescent="0.25"/>
    <row r="144" s="156" customFormat="1" ht="56.25" customHeight="1" x14ac:dyDescent="0.25"/>
    <row r="145" s="156" customFormat="1" ht="56.25" customHeight="1" x14ac:dyDescent="0.25"/>
    <row r="146" s="156" customFormat="1" ht="56.25" customHeight="1" x14ac:dyDescent="0.25"/>
    <row r="147" s="156" customFormat="1" ht="56.25" customHeight="1" x14ac:dyDescent="0.25"/>
    <row r="148" s="156" customFormat="1" ht="56.25" customHeight="1" x14ac:dyDescent="0.25"/>
    <row r="149" s="156" customFormat="1" ht="56.25" customHeight="1" x14ac:dyDescent="0.25"/>
    <row r="150" s="156" customFormat="1" ht="56.25" customHeight="1" x14ac:dyDescent="0.25"/>
    <row r="151" s="156" customFormat="1" ht="56.25" customHeight="1" x14ac:dyDescent="0.25"/>
    <row r="152" s="156" customFormat="1" ht="56.25" customHeight="1" x14ac:dyDescent="0.25"/>
    <row r="153" s="156" customFormat="1" ht="56.25" customHeight="1" x14ac:dyDescent="0.25"/>
    <row r="154" s="156" customFormat="1" ht="56.25" customHeight="1" x14ac:dyDescent="0.25"/>
    <row r="155" s="156" customFormat="1" ht="56.25" customHeight="1" x14ac:dyDescent="0.25"/>
    <row r="156" s="156" customFormat="1" ht="56.25" customHeight="1" x14ac:dyDescent="0.25"/>
    <row r="157" s="156" customFormat="1" ht="56.25" customHeight="1" x14ac:dyDescent="0.25"/>
    <row r="158" s="156" customFormat="1" ht="56.25" customHeight="1" x14ac:dyDescent="0.25"/>
    <row r="159" s="156" customFormat="1" ht="56.25" customHeight="1" x14ac:dyDescent="0.25"/>
    <row r="160" s="156" customFormat="1" ht="56.25" customHeight="1" x14ac:dyDescent="0.25"/>
    <row r="161" s="156" customFormat="1" ht="56.25" customHeight="1" x14ac:dyDescent="0.25"/>
    <row r="162" s="156" customFormat="1" ht="56.25" customHeight="1" x14ac:dyDescent="0.25"/>
    <row r="163" s="156" customFormat="1" ht="56.25" customHeight="1" x14ac:dyDescent="0.25"/>
    <row r="164" s="156" customFormat="1" ht="56.25" customHeight="1" x14ac:dyDescent="0.25"/>
    <row r="165" s="156" customFormat="1" ht="56.25" customHeight="1" x14ac:dyDescent="0.25"/>
    <row r="166" s="156" customFormat="1" ht="56.25" customHeight="1" x14ac:dyDescent="0.25"/>
    <row r="167" s="156" customFormat="1" ht="56.25" customHeight="1" x14ac:dyDescent="0.25"/>
    <row r="168" s="156" customFormat="1" ht="56.25" customHeight="1" x14ac:dyDescent="0.25"/>
    <row r="169" s="156" customFormat="1" ht="56.25" customHeight="1" x14ac:dyDescent="0.25"/>
    <row r="170" s="156" customFormat="1" ht="56.25" customHeight="1" x14ac:dyDescent="0.25"/>
    <row r="171" s="156" customFormat="1" ht="56.25" customHeight="1" x14ac:dyDescent="0.25"/>
    <row r="172" s="156" customFormat="1" ht="56.25" customHeight="1" x14ac:dyDescent="0.25"/>
    <row r="173" s="156" customFormat="1" ht="56.25" customHeight="1" x14ac:dyDescent="0.25"/>
    <row r="174" s="156" customFormat="1" ht="56.25" customHeight="1" x14ac:dyDescent="0.25"/>
    <row r="175" s="156" customFormat="1" ht="56.25" customHeight="1" x14ac:dyDescent="0.25"/>
    <row r="176" s="156" customFormat="1" ht="56.25" customHeight="1" x14ac:dyDescent="0.25"/>
    <row r="177" s="156" customFormat="1" ht="56.25" customHeight="1" x14ac:dyDescent="0.25"/>
    <row r="178" s="156" customFormat="1" ht="56.25" customHeight="1" x14ac:dyDescent="0.25"/>
    <row r="179" s="156" customFormat="1" ht="56.25" customHeight="1" x14ac:dyDescent="0.25"/>
    <row r="180" s="156" customFormat="1" ht="56.25" customHeight="1" x14ac:dyDescent="0.25"/>
    <row r="181" s="156" customFormat="1" ht="56.25" customHeight="1" x14ac:dyDescent="0.25"/>
    <row r="182" s="156" customFormat="1" ht="56.25" customHeight="1" x14ac:dyDescent="0.25"/>
    <row r="183" s="156" customFormat="1" ht="56.25" customHeight="1" x14ac:dyDescent="0.25"/>
    <row r="184" s="156" customFormat="1" ht="56.25" customHeight="1" x14ac:dyDescent="0.25"/>
    <row r="185" s="156" customFormat="1" ht="56.25" customHeight="1" x14ac:dyDescent="0.25"/>
    <row r="186" s="156" customFormat="1" ht="56.25" customHeight="1" x14ac:dyDescent="0.25"/>
    <row r="187" s="156" customFormat="1" ht="56.25" customHeight="1" x14ac:dyDescent="0.25"/>
    <row r="188" s="156" customFormat="1" ht="56.25" customHeight="1" x14ac:dyDescent="0.25"/>
    <row r="189" s="156" customFormat="1" ht="56.25" customHeight="1" x14ac:dyDescent="0.25"/>
    <row r="190" s="156" customFormat="1" ht="56.25" customHeight="1" x14ac:dyDescent="0.25"/>
    <row r="191" s="156" customFormat="1" ht="56.25" customHeight="1" x14ac:dyDescent="0.25"/>
    <row r="192" s="156" customFormat="1" ht="56.25" customHeight="1" x14ac:dyDescent="0.25"/>
    <row r="193" s="156" customFormat="1" ht="56.25" customHeight="1" x14ac:dyDescent="0.25"/>
    <row r="194" s="156" customFormat="1" ht="56.25" customHeight="1" x14ac:dyDescent="0.25"/>
    <row r="195" s="156" customFormat="1" ht="56.25" customHeight="1" x14ac:dyDescent="0.25"/>
    <row r="196" s="156" customFormat="1" ht="56.25" customHeight="1" x14ac:dyDescent="0.25"/>
    <row r="197" s="156" customFormat="1" ht="56.25" customHeight="1" x14ac:dyDescent="0.25"/>
    <row r="198" s="156" customFormat="1" ht="56.25" customHeight="1" x14ac:dyDescent="0.25"/>
    <row r="199" s="156" customFormat="1" ht="56.25" customHeight="1" x14ac:dyDescent="0.25"/>
    <row r="200" s="156" customFormat="1" ht="56.25" customHeight="1" x14ac:dyDescent="0.25"/>
    <row r="201" s="156" customFormat="1" ht="56.25" customHeight="1" x14ac:dyDescent="0.25"/>
    <row r="202" s="156" customFormat="1" ht="56.25" customHeight="1" x14ac:dyDescent="0.25"/>
    <row r="203" s="156" customFormat="1" ht="56.25" customHeight="1" x14ac:dyDescent="0.25"/>
    <row r="204" s="156" customFormat="1" ht="56.25" customHeight="1" x14ac:dyDescent="0.25"/>
    <row r="205" s="156" customFormat="1" ht="56.25" customHeight="1" x14ac:dyDescent="0.25"/>
    <row r="206" s="156" customFormat="1" ht="56.25" customHeight="1" x14ac:dyDescent="0.25"/>
    <row r="207" s="156" customFormat="1" ht="56.25" customHeight="1" x14ac:dyDescent="0.25"/>
    <row r="208" s="156" customFormat="1" ht="56.25" customHeight="1" x14ac:dyDescent="0.25"/>
    <row r="209" s="156" customFormat="1" ht="56.25" customHeight="1" x14ac:dyDescent="0.25"/>
    <row r="210" s="156" customFormat="1" ht="56.25" customHeight="1" x14ac:dyDescent="0.25"/>
    <row r="211" s="156" customFormat="1" ht="56.25" customHeight="1" x14ac:dyDescent="0.25"/>
    <row r="212" s="156" customFormat="1" ht="56.25" customHeight="1" x14ac:dyDescent="0.25"/>
    <row r="213" s="156" customFormat="1" ht="56.25" customHeight="1" x14ac:dyDescent="0.25"/>
    <row r="214" s="156" customFormat="1" ht="56.25" customHeight="1" x14ac:dyDescent="0.25"/>
    <row r="215" s="156" customFormat="1" ht="56.25" customHeight="1" x14ac:dyDescent="0.25"/>
    <row r="216" s="156" customFormat="1" ht="56.25" customHeight="1" x14ac:dyDescent="0.25"/>
    <row r="217" s="156" customFormat="1" ht="56.25" customHeight="1" x14ac:dyDescent="0.25"/>
    <row r="218" s="156" customFormat="1" ht="56.25" customHeight="1" x14ac:dyDescent="0.25"/>
    <row r="219" s="156" customFormat="1" ht="56.25" customHeight="1" x14ac:dyDescent="0.25"/>
    <row r="220" s="156" customFormat="1" ht="56.25" customHeight="1" x14ac:dyDescent="0.25"/>
    <row r="221" s="156" customFormat="1" ht="56.25" customHeight="1" x14ac:dyDescent="0.25"/>
    <row r="222" s="156" customFormat="1" ht="56.25" customHeight="1" x14ac:dyDescent="0.25"/>
    <row r="223" s="156" customFormat="1" ht="56.25" customHeight="1" x14ac:dyDescent="0.25"/>
    <row r="224" s="156" customFormat="1" ht="56.25" customHeight="1" x14ac:dyDescent="0.25"/>
    <row r="225" s="156" customFormat="1" ht="56.25" customHeight="1" x14ac:dyDescent="0.25"/>
    <row r="226" s="156" customFormat="1" ht="56.25" customHeight="1" x14ac:dyDescent="0.25"/>
    <row r="227" s="156" customFormat="1" ht="56.25" customHeight="1" x14ac:dyDescent="0.25"/>
    <row r="228" s="156" customFormat="1" ht="56.25" customHeight="1" x14ac:dyDescent="0.25"/>
    <row r="229" s="156" customFormat="1" ht="56.25" customHeight="1" x14ac:dyDescent="0.25"/>
    <row r="230" s="156" customFormat="1" ht="56.25" customHeight="1" x14ac:dyDescent="0.25"/>
    <row r="231" s="156" customFormat="1" ht="56.25" customHeight="1" x14ac:dyDescent="0.25"/>
    <row r="232" s="156" customFormat="1" ht="56.25" customHeight="1" x14ac:dyDescent="0.25"/>
    <row r="233" s="156" customFormat="1" ht="56.25" customHeight="1" x14ac:dyDescent="0.25"/>
    <row r="234" s="156" customFormat="1" ht="56.25" customHeight="1" x14ac:dyDescent="0.25"/>
    <row r="235" s="156" customFormat="1" ht="56.25" customHeight="1" x14ac:dyDescent="0.25"/>
  </sheetData>
  <mergeCells count="17">
    <mergeCell ref="A1:M1"/>
    <mergeCell ref="K13:M13"/>
    <mergeCell ref="K14:M14"/>
    <mergeCell ref="K18:M18"/>
    <mergeCell ref="K3:M3"/>
    <mergeCell ref="K4:M4"/>
    <mergeCell ref="K5:M5"/>
    <mergeCell ref="K6:M6"/>
    <mergeCell ref="K7:M7"/>
    <mergeCell ref="K8:M8"/>
    <mergeCell ref="K9:M9"/>
    <mergeCell ref="K10:M10"/>
    <mergeCell ref="K11:M11"/>
    <mergeCell ref="K12:M12"/>
    <mergeCell ref="A30:O30"/>
    <mergeCell ref="A15:O15"/>
    <mergeCell ref="A16:M1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05"/>
  <sheetViews>
    <sheetView topLeftCell="A16" zoomScale="70" zoomScaleNormal="70" workbookViewId="0">
      <selection activeCell="L24" sqref="L24"/>
    </sheetView>
  </sheetViews>
  <sheetFormatPr defaultColWidth="13.42578125" defaultRowHeight="15" x14ac:dyDescent="0.25"/>
  <cols>
    <col min="1" max="1" width="3.85546875" style="156" bestFit="1" customWidth="1"/>
    <col min="2" max="2" width="19.7109375" style="156" bestFit="1" customWidth="1"/>
    <col min="3" max="3" width="24.140625" style="179" bestFit="1" customWidth="1"/>
    <col min="4" max="4" width="24.85546875" style="179" bestFit="1" customWidth="1"/>
    <col min="5" max="5" width="21.140625" style="179" customWidth="1"/>
    <col min="6" max="6" width="15.28515625" style="156" bestFit="1" customWidth="1"/>
    <col min="7" max="7" width="11.140625" style="180" bestFit="1" customWidth="1"/>
    <col min="8" max="8" width="14.28515625" style="181" bestFit="1" customWidth="1"/>
    <col min="9" max="9" width="12.140625" style="181" bestFit="1" customWidth="1"/>
    <col min="10" max="10" width="12.5703125" style="181" bestFit="1" customWidth="1"/>
    <col min="11" max="11" width="22.5703125" style="182" customWidth="1"/>
    <col min="12" max="12" width="22.5703125" style="156" customWidth="1"/>
    <col min="13" max="13" width="22.5703125" style="179" customWidth="1"/>
    <col min="14" max="14" width="44.5703125" style="156" bestFit="1" customWidth="1"/>
    <col min="15" max="15" width="13" style="156" customWidth="1"/>
    <col min="16" max="16384" width="13.42578125" style="156"/>
  </cols>
  <sheetData>
    <row r="1" spans="1:18" ht="15.75" x14ac:dyDescent="0.25">
      <c r="A1" s="351" t="s">
        <v>1009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3"/>
      <c r="N1" s="231" t="s">
        <v>824</v>
      </c>
      <c r="O1" s="155">
        <v>44089</v>
      </c>
    </row>
    <row r="2" spans="1:18" ht="47.25" x14ac:dyDescent="0.25">
      <c r="A2" s="157" t="s">
        <v>554</v>
      </c>
      <c r="B2" s="206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197" t="s">
        <v>1010</v>
      </c>
      <c r="I2" s="198" t="s">
        <v>631</v>
      </c>
      <c r="J2" s="197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8" ht="60" customHeight="1" x14ac:dyDescent="0.25">
      <c r="A3" s="209">
        <v>1</v>
      </c>
      <c r="B3" s="209" t="s">
        <v>560</v>
      </c>
      <c r="C3" s="210" t="s">
        <v>540</v>
      </c>
      <c r="D3" s="210" t="s">
        <v>561</v>
      </c>
      <c r="E3" s="210" t="s">
        <v>889</v>
      </c>
      <c r="F3" s="211" t="s">
        <v>542</v>
      </c>
      <c r="G3" s="212">
        <v>3500</v>
      </c>
      <c r="H3" s="213">
        <v>6412.68</v>
      </c>
      <c r="I3" s="213">
        <f>759.57+279.87</f>
        <v>1039.44</v>
      </c>
      <c r="J3" s="213">
        <f>MIN(H3+I3,G3)</f>
        <v>3500</v>
      </c>
      <c r="K3" s="354" t="s">
        <v>758</v>
      </c>
      <c r="L3" s="355"/>
      <c r="M3" s="356"/>
      <c r="N3" s="210" t="s">
        <v>1011</v>
      </c>
      <c r="O3" s="226" t="s">
        <v>1012</v>
      </c>
      <c r="Q3" s="181"/>
      <c r="R3" s="181"/>
    </row>
    <row r="4" spans="1:18" ht="60" customHeight="1" x14ac:dyDescent="0.25">
      <c r="A4" s="209">
        <v>2</v>
      </c>
      <c r="B4" s="209" t="s">
        <v>563</v>
      </c>
      <c r="C4" s="210" t="s">
        <v>540</v>
      </c>
      <c r="D4" s="210" t="s">
        <v>561</v>
      </c>
      <c r="E4" s="210" t="s">
        <v>670</v>
      </c>
      <c r="F4" s="211" t="s">
        <v>544</v>
      </c>
      <c r="G4" s="212">
        <v>18</v>
      </c>
      <c r="H4" s="213">
        <v>1857.37</v>
      </c>
      <c r="I4" s="213">
        <f>737.39+279.87</f>
        <v>1017.26</v>
      </c>
      <c r="J4" s="213">
        <f t="shared" ref="J4:J14" si="0">MIN(H4+I4,G4)</f>
        <v>18</v>
      </c>
      <c r="K4" s="354" t="s">
        <v>758</v>
      </c>
      <c r="L4" s="355"/>
      <c r="M4" s="356"/>
      <c r="N4" s="210" t="s">
        <v>1011</v>
      </c>
      <c r="O4" s="226" t="s">
        <v>1012</v>
      </c>
      <c r="Q4" s="181"/>
      <c r="R4" s="181"/>
    </row>
    <row r="5" spans="1:18" ht="60" customHeight="1" x14ac:dyDescent="0.25">
      <c r="A5" s="163">
        <v>3</v>
      </c>
      <c r="B5" s="163" t="s">
        <v>841</v>
      </c>
      <c r="C5" s="164" t="s">
        <v>842</v>
      </c>
      <c r="D5" s="164" t="s">
        <v>843</v>
      </c>
      <c r="E5" s="164" t="s">
        <v>892</v>
      </c>
      <c r="F5" s="163" t="s">
        <v>845</v>
      </c>
      <c r="G5" s="166">
        <v>5960</v>
      </c>
      <c r="H5" s="207">
        <v>1766.44</v>
      </c>
      <c r="I5" s="207">
        <f>1963.14+114</f>
        <v>2077.1400000000003</v>
      </c>
      <c r="J5" s="207">
        <f t="shared" si="0"/>
        <v>3843.5800000000004</v>
      </c>
      <c r="K5" s="336" t="s">
        <v>562</v>
      </c>
      <c r="L5" s="337"/>
      <c r="M5" s="338"/>
      <c r="N5" s="164" t="s">
        <v>1013</v>
      </c>
      <c r="O5" s="168" t="s">
        <v>1014</v>
      </c>
      <c r="Q5" s="181"/>
      <c r="R5" s="181"/>
    </row>
    <row r="6" spans="1:18" ht="60" customHeight="1" x14ac:dyDescent="0.25">
      <c r="A6" s="163">
        <v>4</v>
      </c>
      <c r="B6" s="163" t="s">
        <v>851</v>
      </c>
      <c r="C6" s="164" t="s">
        <v>852</v>
      </c>
      <c r="D6" s="164" t="s">
        <v>853</v>
      </c>
      <c r="E6" s="164" t="s">
        <v>854</v>
      </c>
      <c r="F6" s="163" t="s">
        <v>855</v>
      </c>
      <c r="G6" s="166">
        <v>3570</v>
      </c>
      <c r="H6" s="207">
        <v>595.4</v>
      </c>
      <c r="I6" s="207">
        <f>1076.32+114</f>
        <v>1190.32</v>
      </c>
      <c r="J6" s="207">
        <f t="shared" si="0"/>
        <v>1785.7199999999998</v>
      </c>
      <c r="K6" s="207">
        <v>1</v>
      </c>
      <c r="L6" s="200" t="s">
        <v>1074</v>
      </c>
      <c r="M6" s="105" t="s">
        <v>120</v>
      </c>
      <c r="N6" s="164" t="s">
        <v>1013</v>
      </c>
      <c r="O6" s="168" t="s">
        <v>1014</v>
      </c>
      <c r="Q6" s="181"/>
      <c r="R6" s="181"/>
    </row>
    <row r="7" spans="1:18" ht="60" customHeight="1" x14ac:dyDescent="0.25">
      <c r="A7" s="209">
        <v>5</v>
      </c>
      <c r="B7" s="209" t="s">
        <v>856</v>
      </c>
      <c r="C7" s="210" t="s">
        <v>857</v>
      </c>
      <c r="D7" s="210" t="s">
        <v>858</v>
      </c>
      <c r="E7" s="210" t="s">
        <v>859</v>
      </c>
      <c r="F7" s="209" t="s">
        <v>860</v>
      </c>
      <c r="G7" s="212">
        <v>3490</v>
      </c>
      <c r="H7" s="213">
        <v>841.3</v>
      </c>
      <c r="I7" s="213">
        <f>1046.33+113.99</f>
        <v>1160.32</v>
      </c>
      <c r="J7" s="213">
        <f t="shared" si="0"/>
        <v>2001.62</v>
      </c>
      <c r="K7" s="354" t="s">
        <v>758</v>
      </c>
      <c r="L7" s="355"/>
      <c r="M7" s="356"/>
      <c r="N7" s="210" t="s">
        <v>1013</v>
      </c>
      <c r="O7" s="226" t="s">
        <v>1012</v>
      </c>
      <c r="Q7" s="181"/>
      <c r="R7" s="181"/>
    </row>
    <row r="8" spans="1:18" ht="60" customHeight="1" x14ac:dyDescent="0.25">
      <c r="A8" s="163">
        <v>6</v>
      </c>
      <c r="B8" s="163" t="s">
        <v>861</v>
      </c>
      <c r="C8" s="164" t="s">
        <v>954</v>
      </c>
      <c r="D8" s="164" t="s">
        <v>858</v>
      </c>
      <c r="E8" s="164" t="s">
        <v>863</v>
      </c>
      <c r="F8" s="163" t="s">
        <v>864</v>
      </c>
      <c r="G8" s="166">
        <v>2330</v>
      </c>
      <c r="H8" s="163">
        <v>596.66</v>
      </c>
      <c r="I8" s="207">
        <f>1046.33+113.99</f>
        <v>1160.32</v>
      </c>
      <c r="J8" s="207">
        <f t="shared" si="0"/>
        <v>1756.98</v>
      </c>
      <c r="K8" s="336" t="s">
        <v>562</v>
      </c>
      <c r="L8" s="337"/>
      <c r="M8" s="338"/>
      <c r="N8" s="164" t="s">
        <v>1013</v>
      </c>
      <c r="O8" s="168" t="s">
        <v>1014</v>
      </c>
      <c r="Q8" s="181"/>
      <c r="R8" s="181"/>
    </row>
    <row r="9" spans="1:18" ht="60" customHeight="1" x14ac:dyDescent="0.25">
      <c r="A9" s="163">
        <v>7</v>
      </c>
      <c r="B9" s="163" t="s">
        <v>875</v>
      </c>
      <c r="C9" s="164" t="s">
        <v>871</v>
      </c>
      <c r="D9" s="164" t="s">
        <v>876</v>
      </c>
      <c r="E9" s="164" t="s">
        <v>877</v>
      </c>
      <c r="F9" s="163" t="s">
        <v>874</v>
      </c>
      <c r="G9" s="166">
        <v>2330</v>
      </c>
      <c r="H9" s="207">
        <v>330.73</v>
      </c>
      <c r="I9" s="207">
        <f>728.27+113.99</f>
        <v>842.26</v>
      </c>
      <c r="J9" s="207">
        <f t="shared" si="0"/>
        <v>1172.99</v>
      </c>
      <c r="K9" s="336" t="s">
        <v>562</v>
      </c>
      <c r="L9" s="337"/>
      <c r="M9" s="338"/>
      <c r="N9" s="164" t="s">
        <v>1013</v>
      </c>
      <c r="O9" s="168" t="s">
        <v>1014</v>
      </c>
      <c r="Q9" s="181"/>
      <c r="R9" s="181"/>
    </row>
    <row r="10" spans="1:18" ht="60" customHeight="1" x14ac:dyDescent="0.25">
      <c r="A10" s="163">
        <v>8</v>
      </c>
      <c r="B10" s="163" t="s">
        <v>894</v>
      </c>
      <c r="C10" s="164" t="s">
        <v>955</v>
      </c>
      <c r="D10" s="164" t="s">
        <v>896</v>
      </c>
      <c r="E10" s="164" t="s">
        <v>897</v>
      </c>
      <c r="F10" s="163" t="s">
        <v>898</v>
      </c>
      <c r="G10" s="166">
        <v>1890</v>
      </c>
      <c r="H10" s="207">
        <v>372.11</v>
      </c>
      <c r="I10" s="207">
        <f>2014.64+82.37</f>
        <v>2097.0100000000002</v>
      </c>
      <c r="J10" s="207">
        <f t="shared" si="0"/>
        <v>1890</v>
      </c>
      <c r="K10" s="336" t="s">
        <v>562</v>
      </c>
      <c r="L10" s="337"/>
      <c r="M10" s="338"/>
      <c r="N10" s="164" t="s">
        <v>1015</v>
      </c>
      <c r="O10" s="168" t="s">
        <v>1014</v>
      </c>
      <c r="Q10" s="181"/>
      <c r="R10" s="181"/>
    </row>
    <row r="11" spans="1:18" ht="60" customHeight="1" x14ac:dyDescent="0.25">
      <c r="A11" s="163">
        <v>9</v>
      </c>
      <c r="B11" s="163" t="s">
        <v>899</v>
      </c>
      <c r="C11" s="164" t="s">
        <v>957</v>
      </c>
      <c r="D11" s="164" t="s">
        <v>901</v>
      </c>
      <c r="E11" s="164" t="s">
        <v>902</v>
      </c>
      <c r="F11" s="163" t="s">
        <v>903</v>
      </c>
      <c r="G11" s="166">
        <v>2000</v>
      </c>
      <c r="H11" s="207">
        <v>790.37</v>
      </c>
      <c r="I11" s="207">
        <f>1084.27+82.37</f>
        <v>1166.6399999999999</v>
      </c>
      <c r="J11" s="207">
        <f t="shared" si="0"/>
        <v>1957.0099999999998</v>
      </c>
      <c r="K11" s="336" t="s">
        <v>562</v>
      </c>
      <c r="L11" s="337"/>
      <c r="M11" s="338"/>
      <c r="N11" s="164" t="s">
        <v>1015</v>
      </c>
      <c r="O11" s="168" t="s">
        <v>1014</v>
      </c>
      <c r="Q11" s="181"/>
      <c r="R11" s="181"/>
    </row>
    <row r="12" spans="1:18" ht="60" customHeight="1" x14ac:dyDescent="0.25">
      <c r="A12" s="163">
        <v>10</v>
      </c>
      <c r="B12" s="163" t="s">
        <v>926</v>
      </c>
      <c r="C12" s="164" t="s">
        <v>927</v>
      </c>
      <c r="D12" s="164" t="s">
        <v>928</v>
      </c>
      <c r="E12" s="169" t="s">
        <v>929</v>
      </c>
      <c r="F12" s="163" t="s">
        <v>930</v>
      </c>
      <c r="G12" s="166">
        <v>2330</v>
      </c>
      <c r="H12" s="207">
        <v>246.45</v>
      </c>
      <c r="I12" s="207">
        <f>SUM(1041.56+82.36)</f>
        <v>1123.9199999999998</v>
      </c>
      <c r="J12" s="207">
        <f t="shared" si="0"/>
        <v>1370.37</v>
      </c>
      <c r="K12" s="336" t="s">
        <v>562</v>
      </c>
      <c r="L12" s="337"/>
      <c r="M12" s="338"/>
      <c r="N12" s="164" t="s">
        <v>1015</v>
      </c>
      <c r="O12" s="168" t="s">
        <v>1014</v>
      </c>
      <c r="Q12" s="181"/>
      <c r="R12" s="181"/>
    </row>
    <row r="13" spans="1:18" ht="60" customHeight="1" x14ac:dyDescent="0.25">
      <c r="A13" s="214">
        <v>11</v>
      </c>
      <c r="B13" s="214" t="s">
        <v>989</v>
      </c>
      <c r="C13" s="215" t="s">
        <v>990</v>
      </c>
      <c r="D13" s="215" t="s">
        <v>991</v>
      </c>
      <c r="E13" s="215" t="s">
        <v>992</v>
      </c>
      <c r="F13" s="214" t="s">
        <v>993</v>
      </c>
      <c r="G13" s="216">
        <v>1400</v>
      </c>
      <c r="H13" s="217">
        <v>194.95</v>
      </c>
      <c r="I13" s="218">
        <f>SUM(2094.14+33.2)</f>
        <v>2127.3399999999997</v>
      </c>
      <c r="J13" s="218">
        <f>MIN(H13+I13)</f>
        <v>2322.2899999999995</v>
      </c>
      <c r="K13" s="218">
        <f>J13</f>
        <v>2322.2899999999995</v>
      </c>
      <c r="L13" s="219" t="s">
        <v>1071</v>
      </c>
      <c r="M13" s="232" t="s">
        <v>120</v>
      </c>
      <c r="N13" s="215" t="s">
        <v>289</v>
      </c>
      <c r="O13" s="225" t="s">
        <v>1014</v>
      </c>
      <c r="P13" s="171"/>
      <c r="Q13" s="181"/>
      <c r="R13" s="181"/>
    </row>
    <row r="14" spans="1:18" ht="60" customHeight="1" x14ac:dyDescent="0.25">
      <c r="A14" s="163">
        <v>12</v>
      </c>
      <c r="B14" s="163" t="s">
        <v>995</v>
      </c>
      <c r="C14" s="164" t="s">
        <v>996</v>
      </c>
      <c r="D14" s="164" t="s">
        <v>997</v>
      </c>
      <c r="E14" s="164" t="s">
        <v>998</v>
      </c>
      <c r="F14" s="163" t="s">
        <v>999</v>
      </c>
      <c r="G14" s="166">
        <v>140</v>
      </c>
      <c r="H14" s="208">
        <v>237.94</v>
      </c>
      <c r="I14" s="207">
        <f>SUM(2094.4+33.2)</f>
        <v>2127.6</v>
      </c>
      <c r="J14" s="207">
        <f t="shared" si="0"/>
        <v>140</v>
      </c>
      <c r="K14" s="336" t="s">
        <v>562</v>
      </c>
      <c r="L14" s="337"/>
      <c r="M14" s="338"/>
      <c r="N14" s="164" t="s">
        <v>289</v>
      </c>
      <c r="O14" s="168" t="s">
        <v>1014</v>
      </c>
      <c r="P14" s="171"/>
      <c r="Q14" s="181"/>
      <c r="R14" s="181"/>
    </row>
    <row r="15" spans="1:18" s="171" customFormat="1" ht="15.75" x14ac:dyDescent="0.25">
      <c r="A15" s="163"/>
      <c r="B15" s="220" t="s">
        <v>1016</v>
      </c>
      <c r="C15" s="349" t="s">
        <v>645</v>
      </c>
      <c r="D15" s="349"/>
      <c r="E15" s="221" t="s">
        <v>1017</v>
      </c>
      <c r="F15" s="221"/>
      <c r="G15" s="221"/>
      <c r="H15" s="221"/>
      <c r="I15" s="221"/>
      <c r="J15" s="221"/>
      <c r="K15" s="221"/>
      <c r="L15" s="221"/>
      <c r="M15" s="214"/>
      <c r="N15" s="163"/>
      <c r="O15" s="222"/>
      <c r="Q15" s="181"/>
      <c r="R15" s="181"/>
    </row>
    <row r="16" spans="1:18" ht="15.75" x14ac:dyDescent="0.25">
      <c r="A16" s="334" t="str">
        <f>A1</f>
        <v>CURRENT LIST OF FORFEITED PARCELS          DATE:  SEPTEMBER 18, 2020 AT 10:30AM      COSHOCTON COUNTY COURTHOUSE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231" t="s">
        <v>824</v>
      </c>
      <c r="O16" s="155">
        <f>O1</f>
        <v>44089</v>
      </c>
      <c r="Q16" s="181"/>
      <c r="R16" s="181"/>
    </row>
    <row r="17" spans="1:18" ht="47.25" x14ac:dyDescent="0.25">
      <c r="A17" s="157" t="s">
        <v>554</v>
      </c>
      <c r="B17" s="206" t="s">
        <v>3</v>
      </c>
      <c r="C17" s="157" t="s">
        <v>4</v>
      </c>
      <c r="D17" s="157" t="s">
        <v>5</v>
      </c>
      <c r="E17" s="157" t="s">
        <v>666</v>
      </c>
      <c r="F17" s="157" t="s">
        <v>6</v>
      </c>
      <c r="G17" s="159" t="s">
        <v>7</v>
      </c>
      <c r="H17" s="197" t="str">
        <f>H2</f>
        <v>* 08/24/2020
TAX DUE *</v>
      </c>
      <c r="I17" s="198" t="s">
        <v>631</v>
      </c>
      <c r="J17" s="197" t="s">
        <v>632</v>
      </c>
      <c r="K17" s="162" t="s">
        <v>11</v>
      </c>
      <c r="L17" s="157" t="s">
        <v>12</v>
      </c>
      <c r="M17" s="157" t="s">
        <v>13</v>
      </c>
      <c r="N17" s="157" t="s">
        <v>14</v>
      </c>
      <c r="O17" s="157" t="s">
        <v>15</v>
      </c>
      <c r="P17" s="171"/>
      <c r="Q17" s="181"/>
      <c r="R17" s="181"/>
    </row>
    <row r="18" spans="1:18" ht="60" customHeight="1" x14ac:dyDescent="0.25">
      <c r="A18" s="164">
        <v>13</v>
      </c>
      <c r="B18" s="163" t="s">
        <v>1018</v>
      </c>
      <c r="C18" s="164" t="s">
        <v>1019</v>
      </c>
      <c r="D18" s="164" t="s">
        <v>1020</v>
      </c>
      <c r="E18" s="164" t="s">
        <v>1021</v>
      </c>
      <c r="F18" s="163" t="s">
        <v>1022</v>
      </c>
      <c r="G18" s="166">
        <v>5000</v>
      </c>
      <c r="H18" s="207">
        <v>2319.85</v>
      </c>
      <c r="I18" s="207">
        <f>SUM(1032.8+33.2)</f>
        <v>1066</v>
      </c>
      <c r="J18" s="207">
        <f t="shared" ref="J18:J25" si="1">MIN(H18+I18,G18)</f>
        <v>3385.85</v>
      </c>
      <c r="K18" s="336" t="s">
        <v>562</v>
      </c>
      <c r="L18" s="337"/>
      <c r="M18" s="338"/>
      <c r="N18" s="164" t="s">
        <v>289</v>
      </c>
      <c r="O18" s="168" t="s">
        <v>1014</v>
      </c>
      <c r="P18" s="171"/>
      <c r="Q18" s="181"/>
      <c r="R18" s="181"/>
    </row>
    <row r="19" spans="1:18" ht="60" customHeight="1" x14ac:dyDescent="0.25">
      <c r="A19" s="215">
        <v>14</v>
      </c>
      <c r="B19" s="214" t="s">
        <v>646</v>
      </c>
      <c r="C19" s="215" t="s">
        <v>1023</v>
      </c>
      <c r="D19" s="215" t="s">
        <v>648</v>
      </c>
      <c r="E19" s="223" t="s">
        <v>1024</v>
      </c>
      <c r="F19" s="214" t="s">
        <v>1025</v>
      </c>
      <c r="G19" s="216">
        <v>87750</v>
      </c>
      <c r="H19" s="218">
        <v>10954.89</v>
      </c>
      <c r="I19" s="218">
        <f>SUM(1349.35+33.2-14)</f>
        <v>1368.55</v>
      </c>
      <c r="J19" s="218">
        <f>MIN(H19+I19)</f>
        <v>12323.439999999999</v>
      </c>
      <c r="K19" s="218">
        <f>J19</f>
        <v>12323.439999999999</v>
      </c>
      <c r="L19" s="218" t="s">
        <v>1071</v>
      </c>
      <c r="M19" s="232" t="s">
        <v>120</v>
      </c>
      <c r="N19" s="215" t="s">
        <v>289</v>
      </c>
      <c r="O19" s="225" t="s">
        <v>1014</v>
      </c>
      <c r="P19" s="171"/>
      <c r="Q19" s="181"/>
      <c r="R19" s="181"/>
    </row>
    <row r="20" spans="1:18" ht="60" customHeight="1" x14ac:dyDescent="0.25">
      <c r="A20" s="164">
        <v>15</v>
      </c>
      <c r="B20" s="163" t="s">
        <v>1026</v>
      </c>
      <c r="C20" s="164" t="s">
        <v>1027</v>
      </c>
      <c r="D20" s="164" t="s">
        <v>1028</v>
      </c>
      <c r="E20" s="164" t="s">
        <v>1029</v>
      </c>
      <c r="F20" s="163" t="s">
        <v>1030</v>
      </c>
      <c r="G20" s="166">
        <v>2700</v>
      </c>
      <c r="H20" s="208">
        <v>215.78</v>
      </c>
      <c r="I20" s="207">
        <f>SUM(1426.2+33.2)</f>
        <v>1459.4</v>
      </c>
      <c r="J20" s="207">
        <f t="shared" si="1"/>
        <v>1675.18</v>
      </c>
      <c r="K20" s="207">
        <v>1</v>
      </c>
      <c r="L20" s="164" t="s">
        <v>1076</v>
      </c>
      <c r="M20" s="105" t="s">
        <v>120</v>
      </c>
      <c r="N20" s="164" t="s">
        <v>289</v>
      </c>
      <c r="O20" s="168" t="s">
        <v>1014</v>
      </c>
      <c r="P20" s="171"/>
      <c r="Q20" s="181"/>
      <c r="R20" s="181"/>
    </row>
    <row r="21" spans="1:18" ht="60" customHeight="1" x14ac:dyDescent="0.25">
      <c r="A21" s="215">
        <v>16</v>
      </c>
      <c r="B21" s="214" t="s">
        <v>141</v>
      </c>
      <c r="C21" s="215" t="s">
        <v>1031</v>
      </c>
      <c r="D21" s="215" t="s">
        <v>1032</v>
      </c>
      <c r="E21" s="215" t="s">
        <v>1033</v>
      </c>
      <c r="F21" s="214" t="s">
        <v>1034</v>
      </c>
      <c r="G21" s="216">
        <v>17140</v>
      </c>
      <c r="H21" s="223">
        <v>1947.83</v>
      </c>
      <c r="I21" s="218">
        <f>SUM(1448.06+33.2)</f>
        <v>1481.26</v>
      </c>
      <c r="J21" s="218">
        <f>MIN(H21+I21)</f>
        <v>3429.09</v>
      </c>
      <c r="K21" s="218">
        <v>8300</v>
      </c>
      <c r="L21" s="215" t="s">
        <v>1073</v>
      </c>
      <c r="M21" s="215" t="s">
        <v>1072</v>
      </c>
      <c r="N21" s="215" t="s">
        <v>289</v>
      </c>
      <c r="O21" s="225" t="s">
        <v>1014</v>
      </c>
      <c r="P21" s="171"/>
      <c r="Q21" s="181"/>
      <c r="R21" s="181"/>
    </row>
    <row r="22" spans="1:18" ht="60" customHeight="1" x14ac:dyDescent="0.25">
      <c r="A22" s="215">
        <v>17</v>
      </c>
      <c r="B22" s="214" t="s">
        <v>1035</v>
      </c>
      <c r="C22" s="215" t="s">
        <v>1036</v>
      </c>
      <c r="D22" s="215" t="s">
        <v>1037</v>
      </c>
      <c r="E22" s="215" t="s">
        <v>1038</v>
      </c>
      <c r="F22" s="214" t="s">
        <v>1039</v>
      </c>
      <c r="G22" s="216">
        <v>18310</v>
      </c>
      <c r="H22" s="218">
        <v>2421.58</v>
      </c>
      <c r="I22" s="218">
        <f>SUM(531+33.2)</f>
        <v>564.20000000000005</v>
      </c>
      <c r="J22" s="218">
        <f>MIN(H22+I22)</f>
        <v>2985.7799999999997</v>
      </c>
      <c r="K22" s="218">
        <f>J22</f>
        <v>2985.7799999999997</v>
      </c>
      <c r="L22" s="214" t="s">
        <v>1071</v>
      </c>
      <c r="M22" s="232" t="s">
        <v>120</v>
      </c>
      <c r="N22" s="215" t="s">
        <v>289</v>
      </c>
      <c r="O22" s="225" t="s">
        <v>1014</v>
      </c>
      <c r="P22" s="171"/>
      <c r="Q22" s="181"/>
      <c r="R22" s="181"/>
    </row>
    <row r="23" spans="1:18" ht="60" customHeight="1" x14ac:dyDescent="0.25">
      <c r="A23" s="210">
        <v>18</v>
      </c>
      <c r="B23" s="209" t="s">
        <v>1040</v>
      </c>
      <c r="C23" s="210" t="s">
        <v>1041</v>
      </c>
      <c r="D23" s="210" t="s">
        <v>1042</v>
      </c>
      <c r="E23" s="224" t="s">
        <v>1043</v>
      </c>
      <c r="F23" s="209" t="s">
        <v>1044</v>
      </c>
      <c r="G23" s="212">
        <v>3280</v>
      </c>
      <c r="H23" s="213">
        <v>790.3</v>
      </c>
      <c r="I23" s="213"/>
      <c r="J23" s="213"/>
      <c r="K23" s="354" t="s">
        <v>758</v>
      </c>
      <c r="L23" s="355"/>
      <c r="M23" s="356"/>
      <c r="N23" s="210" t="s">
        <v>289</v>
      </c>
      <c r="O23" s="226" t="s">
        <v>1012</v>
      </c>
      <c r="P23" s="171"/>
      <c r="Q23" s="181"/>
      <c r="R23" s="181"/>
    </row>
    <row r="24" spans="1:18" ht="60" customHeight="1" x14ac:dyDescent="0.25">
      <c r="A24" s="215">
        <v>19</v>
      </c>
      <c r="B24" s="214" t="s">
        <v>1045</v>
      </c>
      <c r="C24" s="215" t="s">
        <v>1046</v>
      </c>
      <c r="D24" s="215" t="s">
        <v>1047</v>
      </c>
      <c r="E24" s="215" t="s">
        <v>1048</v>
      </c>
      <c r="F24" s="214" t="s">
        <v>1049</v>
      </c>
      <c r="G24" s="216">
        <v>8890</v>
      </c>
      <c r="H24" s="218">
        <v>15339.18</v>
      </c>
      <c r="I24" s="218">
        <f>SUM(1255.89+33.2)</f>
        <v>1289.0900000000001</v>
      </c>
      <c r="J24" s="218">
        <f>MIN(H24+I24)</f>
        <v>16628.27</v>
      </c>
      <c r="K24" s="218">
        <f>J24</f>
        <v>16628.27</v>
      </c>
      <c r="L24" s="214" t="s">
        <v>1071</v>
      </c>
      <c r="M24" s="232" t="s">
        <v>120</v>
      </c>
      <c r="N24" s="215" t="s">
        <v>289</v>
      </c>
      <c r="O24" s="225" t="s">
        <v>1014</v>
      </c>
      <c r="P24" s="171"/>
      <c r="Q24" s="181"/>
      <c r="R24" s="181"/>
    </row>
    <row r="25" spans="1:18" ht="60" customHeight="1" x14ac:dyDescent="0.25">
      <c r="A25" s="164">
        <v>20</v>
      </c>
      <c r="B25" s="163" t="s">
        <v>1050</v>
      </c>
      <c r="C25" s="164" t="s">
        <v>1051</v>
      </c>
      <c r="D25" s="164" t="s">
        <v>1052</v>
      </c>
      <c r="E25" s="169" t="s">
        <v>1053</v>
      </c>
      <c r="F25" s="163" t="s">
        <v>1054</v>
      </c>
      <c r="G25" s="166">
        <v>13130</v>
      </c>
      <c r="H25" s="207">
        <v>3507.4</v>
      </c>
      <c r="I25" s="207">
        <f>SUM(1076.15+33.2)</f>
        <v>1109.3500000000001</v>
      </c>
      <c r="J25" s="207">
        <f t="shared" si="1"/>
        <v>4616.75</v>
      </c>
      <c r="K25" s="234">
        <v>1</v>
      </c>
      <c r="L25" s="164" t="s">
        <v>1075</v>
      </c>
      <c r="M25" s="105" t="s">
        <v>120</v>
      </c>
      <c r="N25" s="164" t="s">
        <v>289</v>
      </c>
      <c r="O25" s="168" t="s">
        <v>1014</v>
      </c>
      <c r="P25" s="171"/>
      <c r="Q25" s="181"/>
      <c r="R25" s="181"/>
    </row>
    <row r="26" spans="1:18" ht="60" customHeight="1" x14ac:dyDescent="0.25">
      <c r="A26" s="215">
        <v>21</v>
      </c>
      <c r="B26" s="214" t="s">
        <v>1000</v>
      </c>
      <c r="C26" s="215" t="s">
        <v>1055</v>
      </c>
      <c r="D26" s="215" t="s">
        <v>1002</v>
      </c>
      <c r="E26" s="215" t="s">
        <v>1003</v>
      </c>
      <c r="F26" s="214" t="s">
        <v>1004</v>
      </c>
      <c r="G26" s="216">
        <v>10</v>
      </c>
      <c r="H26" s="225" t="s">
        <v>1056</v>
      </c>
      <c r="I26" s="218">
        <f>SUM(1356.95+33.2)</f>
        <v>1390.15</v>
      </c>
      <c r="J26" s="218">
        <f>MIN(H26+I26)</f>
        <v>1539.95</v>
      </c>
      <c r="K26" s="218">
        <f>J26</f>
        <v>1539.95</v>
      </c>
      <c r="L26" s="219" t="s">
        <v>1071</v>
      </c>
      <c r="M26" s="232" t="s">
        <v>120</v>
      </c>
      <c r="N26" s="215" t="s">
        <v>289</v>
      </c>
      <c r="O26" s="225" t="s">
        <v>1014</v>
      </c>
      <c r="P26" s="171"/>
      <c r="Q26" s="181"/>
      <c r="R26" s="181"/>
    </row>
    <row r="27" spans="1:18" ht="60" customHeight="1" x14ac:dyDescent="0.25">
      <c r="A27" s="210">
        <v>22</v>
      </c>
      <c r="B27" s="209" t="s">
        <v>1057</v>
      </c>
      <c r="C27" s="210" t="s">
        <v>1058</v>
      </c>
      <c r="D27" s="210" t="s">
        <v>1059</v>
      </c>
      <c r="E27" s="210" t="s">
        <v>1060</v>
      </c>
      <c r="F27" s="209" t="s">
        <v>1061</v>
      </c>
      <c r="G27" s="212">
        <v>1890</v>
      </c>
      <c r="H27" s="213">
        <v>63.61</v>
      </c>
      <c r="I27" s="226" t="s">
        <v>304</v>
      </c>
      <c r="J27" s="226" t="s">
        <v>304</v>
      </c>
      <c r="K27" s="105" t="s">
        <v>120</v>
      </c>
      <c r="L27" s="105" t="s">
        <v>120</v>
      </c>
      <c r="M27" s="105" t="s">
        <v>120</v>
      </c>
      <c r="N27" s="210" t="s">
        <v>289</v>
      </c>
      <c r="O27" s="226" t="s">
        <v>1062</v>
      </c>
      <c r="P27" s="171"/>
      <c r="Q27" s="181"/>
      <c r="R27" s="181"/>
    </row>
    <row r="28" spans="1:18" ht="60" customHeight="1" x14ac:dyDescent="0.25">
      <c r="A28" s="210">
        <v>23</v>
      </c>
      <c r="B28" s="209" t="s">
        <v>50</v>
      </c>
      <c r="C28" s="210" t="s">
        <v>1063</v>
      </c>
      <c r="D28" s="210" t="s">
        <v>1064</v>
      </c>
      <c r="E28" s="210" t="s">
        <v>1065</v>
      </c>
      <c r="F28" s="209" t="s">
        <v>1066</v>
      </c>
      <c r="G28" s="212">
        <v>8680</v>
      </c>
      <c r="H28" s="213">
        <v>1104.28</v>
      </c>
      <c r="I28" s="226" t="s">
        <v>304</v>
      </c>
      <c r="J28" s="226" t="s">
        <v>304</v>
      </c>
      <c r="K28" s="105" t="s">
        <v>120</v>
      </c>
      <c r="L28" s="105" t="s">
        <v>120</v>
      </c>
      <c r="M28" s="105" t="s">
        <v>120</v>
      </c>
      <c r="N28" s="210" t="s">
        <v>289</v>
      </c>
      <c r="O28" s="226" t="s">
        <v>1062</v>
      </c>
      <c r="P28" s="171"/>
      <c r="Q28" s="181"/>
      <c r="R28" s="181"/>
    </row>
    <row r="29" spans="1:18" ht="60" customHeight="1" x14ac:dyDescent="0.25">
      <c r="A29" s="210">
        <v>24</v>
      </c>
      <c r="B29" s="209" t="s">
        <v>1067</v>
      </c>
      <c r="C29" s="210" t="s">
        <v>1068</v>
      </c>
      <c r="D29" s="210" t="s">
        <v>1069</v>
      </c>
      <c r="E29" s="210" t="s">
        <v>859</v>
      </c>
      <c r="F29" s="209" t="s">
        <v>1070</v>
      </c>
      <c r="G29" s="212">
        <v>2090</v>
      </c>
      <c r="H29" s="213">
        <v>283.38</v>
      </c>
      <c r="I29" s="226" t="s">
        <v>304</v>
      </c>
      <c r="J29" s="226" t="s">
        <v>304</v>
      </c>
      <c r="K29" s="105" t="s">
        <v>120</v>
      </c>
      <c r="L29" s="105" t="s">
        <v>120</v>
      </c>
      <c r="M29" s="105" t="s">
        <v>120</v>
      </c>
      <c r="N29" s="210" t="s">
        <v>289</v>
      </c>
      <c r="O29" s="226" t="s">
        <v>1062</v>
      </c>
      <c r="Q29" s="181"/>
      <c r="R29" s="181"/>
    </row>
    <row r="30" spans="1:18" s="171" customFormat="1" ht="15.75" x14ac:dyDescent="0.25">
      <c r="A30" s="163"/>
      <c r="B30" s="220" t="s">
        <v>1016</v>
      </c>
      <c r="C30" s="349" t="s">
        <v>645</v>
      </c>
      <c r="D30" s="349"/>
      <c r="E30" s="221" t="s">
        <v>1017</v>
      </c>
      <c r="F30" s="221"/>
      <c r="G30" s="221"/>
      <c r="H30" s="221"/>
      <c r="I30" s="221"/>
      <c r="J30" s="221"/>
      <c r="K30" s="221"/>
      <c r="L30" s="221"/>
      <c r="M30" s="214"/>
      <c r="N30" s="163"/>
      <c r="O30" s="222"/>
      <c r="Q30" s="181"/>
      <c r="R30" s="181"/>
    </row>
    <row r="31" spans="1:18" x14ac:dyDescent="0.25">
      <c r="C31" s="156"/>
      <c r="D31" s="156"/>
      <c r="E31" s="156"/>
      <c r="G31" s="156"/>
      <c r="H31" s="156"/>
      <c r="I31" s="156"/>
      <c r="J31" s="156"/>
    </row>
    <row r="32" spans="1:18" x14ac:dyDescent="0.25">
      <c r="C32" s="156"/>
      <c r="D32" s="156"/>
      <c r="E32" s="156"/>
      <c r="G32" s="156"/>
      <c r="H32" s="227"/>
      <c r="I32" s="227"/>
      <c r="J32" s="227"/>
      <c r="K32" s="227"/>
      <c r="L32" s="227"/>
      <c r="M32" s="174"/>
    </row>
    <row r="33" spans="3:13" ht="15.75" x14ac:dyDescent="0.25">
      <c r="C33" s="156"/>
      <c r="D33" s="156"/>
      <c r="E33" s="156"/>
      <c r="G33" s="156"/>
      <c r="H33" s="228"/>
      <c r="I33" s="229"/>
      <c r="J33" s="228"/>
      <c r="K33" s="230"/>
      <c r="L33" s="227"/>
      <c r="M33" s="174"/>
    </row>
    <row r="34" spans="3:13" x14ac:dyDescent="0.25">
      <c r="C34" s="156"/>
      <c r="D34" s="156"/>
      <c r="E34" s="156"/>
      <c r="G34" s="156"/>
      <c r="H34" s="171"/>
      <c r="I34" s="171"/>
      <c r="J34" s="171"/>
      <c r="K34" s="185"/>
      <c r="L34" s="227"/>
      <c r="M34" s="174"/>
    </row>
    <row r="35" spans="3:13" x14ac:dyDescent="0.25">
      <c r="C35" s="156"/>
      <c r="D35" s="156"/>
      <c r="E35" s="156"/>
      <c r="G35" s="156"/>
      <c r="H35" s="156"/>
      <c r="I35" s="156"/>
      <c r="J35" s="156"/>
    </row>
    <row r="36" spans="3:13" x14ac:dyDescent="0.25">
      <c r="C36" s="156"/>
      <c r="D36" s="156"/>
      <c r="E36" s="156"/>
      <c r="G36" s="156"/>
      <c r="H36" s="156"/>
      <c r="I36" s="156"/>
      <c r="J36" s="156"/>
    </row>
    <row r="37" spans="3:13" x14ac:dyDescent="0.25">
      <c r="C37" s="156"/>
      <c r="D37" s="156"/>
      <c r="E37" s="156"/>
      <c r="G37" s="156"/>
      <c r="H37" s="156"/>
      <c r="I37" s="156"/>
      <c r="J37" s="156"/>
    </row>
    <row r="38" spans="3:13" x14ac:dyDescent="0.25">
      <c r="C38" s="156"/>
      <c r="D38" s="156"/>
      <c r="E38" s="156"/>
      <c r="G38" s="156"/>
      <c r="H38" s="156"/>
      <c r="I38" s="156"/>
      <c r="J38" s="156"/>
    </row>
    <row r="39" spans="3:13" x14ac:dyDescent="0.25">
      <c r="C39" s="156"/>
      <c r="D39" s="156"/>
      <c r="E39" s="156"/>
      <c r="G39" s="156"/>
      <c r="H39" s="156"/>
      <c r="I39" s="156"/>
      <c r="J39" s="156"/>
    </row>
    <row r="40" spans="3:13" x14ac:dyDescent="0.25">
      <c r="C40" s="156"/>
      <c r="D40" s="156"/>
      <c r="E40" s="156"/>
      <c r="G40" s="156"/>
      <c r="H40" s="156"/>
      <c r="I40" s="156"/>
      <c r="J40" s="156"/>
    </row>
    <row r="41" spans="3:13" x14ac:dyDescent="0.25">
      <c r="C41" s="156"/>
      <c r="D41" s="156"/>
      <c r="E41" s="156"/>
      <c r="G41" s="156"/>
      <c r="H41" s="156"/>
      <c r="I41" s="156"/>
      <c r="J41" s="156"/>
    </row>
    <row r="42" spans="3:13" x14ac:dyDescent="0.25">
      <c r="C42" s="156"/>
      <c r="D42" s="156"/>
      <c r="E42" s="156"/>
      <c r="G42" s="156"/>
      <c r="H42" s="156"/>
      <c r="I42" s="156"/>
      <c r="J42" s="156"/>
    </row>
    <row r="43" spans="3:13" x14ac:dyDescent="0.25">
      <c r="C43" s="156"/>
      <c r="D43" s="156"/>
      <c r="E43" s="156"/>
      <c r="G43" s="156"/>
      <c r="H43" s="156"/>
      <c r="I43" s="156"/>
      <c r="J43" s="156"/>
    </row>
    <row r="44" spans="3:13" x14ac:dyDescent="0.25">
      <c r="C44" s="156"/>
      <c r="D44" s="156"/>
      <c r="E44" s="156"/>
      <c r="G44" s="156"/>
      <c r="H44" s="156"/>
      <c r="I44" s="156"/>
      <c r="J44" s="156"/>
    </row>
    <row r="45" spans="3:13" x14ac:dyDescent="0.25">
      <c r="C45" s="156"/>
      <c r="D45" s="156"/>
      <c r="E45" s="156"/>
      <c r="G45" s="156"/>
      <c r="H45" s="156"/>
      <c r="I45" s="156"/>
      <c r="J45" s="156"/>
    </row>
    <row r="46" spans="3:13" x14ac:dyDescent="0.25">
      <c r="C46" s="156"/>
      <c r="D46" s="156"/>
      <c r="E46" s="156"/>
      <c r="G46" s="156"/>
      <c r="H46" s="156"/>
      <c r="I46" s="156"/>
      <c r="J46" s="156"/>
    </row>
    <row r="47" spans="3:13" x14ac:dyDescent="0.25">
      <c r="C47" s="156"/>
      <c r="D47" s="156"/>
      <c r="E47" s="156"/>
      <c r="G47" s="156"/>
      <c r="H47" s="156"/>
      <c r="I47" s="156"/>
      <c r="J47" s="156"/>
    </row>
    <row r="48" spans="3:13" x14ac:dyDescent="0.25">
      <c r="C48" s="156"/>
      <c r="D48" s="156"/>
      <c r="E48" s="156"/>
      <c r="G48" s="156"/>
      <c r="H48" s="156"/>
      <c r="I48" s="156"/>
      <c r="J48" s="156"/>
    </row>
    <row r="49" spans="3:10" x14ac:dyDescent="0.25">
      <c r="C49" s="156"/>
      <c r="D49" s="156"/>
      <c r="E49" s="156"/>
      <c r="G49" s="156"/>
      <c r="H49" s="156"/>
      <c r="I49" s="156"/>
      <c r="J49" s="156"/>
    </row>
    <row r="50" spans="3:10" x14ac:dyDescent="0.25">
      <c r="C50" s="156"/>
      <c r="D50" s="156"/>
      <c r="E50" s="156"/>
      <c r="G50" s="156"/>
      <c r="H50" s="156"/>
      <c r="I50" s="156"/>
      <c r="J50" s="156"/>
    </row>
    <row r="51" spans="3:10" x14ac:dyDescent="0.25">
      <c r="C51" s="156"/>
      <c r="D51" s="156"/>
      <c r="E51" s="156"/>
      <c r="G51" s="156"/>
      <c r="H51" s="156"/>
      <c r="I51" s="156"/>
      <c r="J51" s="156"/>
    </row>
    <row r="52" spans="3:10" x14ac:dyDescent="0.25">
      <c r="C52" s="156"/>
      <c r="D52" s="156"/>
      <c r="E52" s="156"/>
      <c r="G52" s="156"/>
      <c r="H52" s="156"/>
      <c r="I52" s="156"/>
      <c r="J52" s="156"/>
    </row>
    <row r="53" spans="3:10" x14ac:dyDescent="0.25">
      <c r="C53" s="156"/>
      <c r="D53" s="156"/>
      <c r="E53" s="156"/>
      <c r="G53" s="156"/>
      <c r="H53" s="156"/>
      <c r="I53" s="156"/>
      <c r="J53" s="156"/>
    </row>
    <row r="54" spans="3:10" x14ac:dyDescent="0.25">
      <c r="C54" s="156"/>
      <c r="D54" s="156"/>
      <c r="E54" s="156"/>
      <c r="G54" s="156"/>
      <c r="H54" s="156"/>
      <c r="I54" s="156"/>
      <c r="J54" s="156"/>
    </row>
    <row r="55" spans="3:10" x14ac:dyDescent="0.25">
      <c r="C55" s="156"/>
      <c r="D55" s="156"/>
      <c r="E55" s="156"/>
      <c r="G55" s="156"/>
      <c r="H55" s="156"/>
      <c r="I55" s="156"/>
      <c r="J55" s="156"/>
    </row>
    <row r="56" spans="3:10" x14ac:dyDescent="0.25">
      <c r="C56" s="156"/>
      <c r="D56" s="156"/>
      <c r="E56" s="156"/>
      <c r="G56" s="156"/>
      <c r="H56" s="156"/>
      <c r="I56" s="156"/>
      <c r="J56" s="156"/>
    </row>
    <row r="57" spans="3:10" x14ac:dyDescent="0.25">
      <c r="C57" s="156"/>
      <c r="D57" s="156"/>
      <c r="E57" s="156"/>
      <c r="G57" s="156"/>
      <c r="H57" s="156"/>
      <c r="I57" s="156"/>
      <c r="J57" s="156"/>
    </row>
    <row r="58" spans="3:10" x14ac:dyDescent="0.25">
      <c r="C58" s="156"/>
      <c r="D58" s="156"/>
      <c r="E58" s="156"/>
      <c r="G58" s="156"/>
      <c r="H58" s="156"/>
      <c r="I58" s="156"/>
      <c r="J58" s="156"/>
    </row>
    <row r="59" spans="3:10" x14ac:dyDescent="0.25">
      <c r="C59" s="156"/>
      <c r="D59" s="156"/>
      <c r="E59" s="156"/>
      <c r="G59" s="156"/>
      <c r="H59" s="156"/>
      <c r="I59" s="156"/>
      <c r="J59" s="156"/>
    </row>
    <row r="60" spans="3:10" x14ac:dyDescent="0.25">
      <c r="C60" s="156"/>
      <c r="D60" s="156"/>
      <c r="E60" s="156"/>
      <c r="G60" s="156"/>
      <c r="H60" s="156"/>
      <c r="I60" s="156"/>
      <c r="J60" s="156"/>
    </row>
    <row r="61" spans="3:10" x14ac:dyDescent="0.25">
      <c r="C61" s="156"/>
      <c r="D61" s="156"/>
      <c r="E61" s="156"/>
      <c r="G61" s="156"/>
      <c r="H61" s="156"/>
      <c r="I61" s="156"/>
      <c r="J61" s="156"/>
    </row>
    <row r="62" spans="3:10" x14ac:dyDescent="0.25">
      <c r="C62" s="156"/>
      <c r="D62" s="156"/>
      <c r="E62" s="156"/>
      <c r="G62" s="156"/>
      <c r="H62" s="156"/>
      <c r="I62" s="156"/>
      <c r="J62" s="156"/>
    </row>
    <row r="63" spans="3:10" x14ac:dyDescent="0.25">
      <c r="C63" s="156"/>
      <c r="D63" s="156"/>
      <c r="E63" s="156"/>
      <c r="G63" s="156"/>
      <c r="H63" s="156"/>
      <c r="I63" s="156"/>
      <c r="J63" s="156"/>
    </row>
    <row r="64" spans="3:10" x14ac:dyDescent="0.25">
      <c r="C64" s="156"/>
      <c r="D64" s="156"/>
      <c r="E64" s="156"/>
      <c r="G64" s="156"/>
      <c r="H64" s="156"/>
      <c r="I64" s="156"/>
      <c r="J64" s="156"/>
    </row>
    <row r="65" spans="3:10" x14ac:dyDescent="0.25">
      <c r="C65" s="156"/>
      <c r="D65" s="156"/>
      <c r="E65" s="156"/>
      <c r="G65" s="156"/>
      <c r="H65" s="156"/>
      <c r="I65" s="156"/>
      <c r="J65" s="156"/>
    </row>
    <row r="66" spans="3:10" x14ac:dyDescent="0.25">
      <c r="C66" s="156"/>
      <c r="D66" s="156"/>
      <c r="E66" s="156"/>
      <c r="G66" s="156"/>
      <c r="H66" s="156"/>
      <c r="I66" s="156"/>
      <c r="J66" s="156"/>
    </row>
    <row r="67" spans="3:10" x14ac:dyDescent="0.25">
      <c r="C67" s="156"/>
      <c r="D67" s="156"/>
      <c r="E67" s="156"/>
      <c r="G67" s="156"/>
      <c r="H67" s="156"/>
      <c r="I67" s="156"/>
      <c r="J67" s="156"/>
    </row>
    <row r="68" spans="3:10" x14ac:dyDescent="0.25">
      <c r="C68" s="156"/>
      <c r="D68" s="156"/>
      <c r="E68" s="156"/>
      <c r="G68" s="156"/>
      <c r="H68" s="156"/>
      <c r="I68" s="156"/>
      <c r="J68" s="156"/>
    </row>
    <row r="69" spans="3:10" x14ac:dyDescent="0.25">
      <c r="C69" s="156"/>
      <c r="D69" s="156"/>
      <c r="E69" s="156"/>
      <c r="G69" s="156"/>
      <c r="H69" s="156"/>
      <c r="I69" s="156"/>
      <c r="J69" s="156"/>
    </row>
    <row r="70" spans="3:10" x14ac:dyDescent="0.25">
      <c r="C70" s="156"/>
      <c r="D70" s="156"/>
      <c r="E70" s="156"/>
      <c r="G70" s="156"/>
      <c r="H70" s="156"/>
      <c r="I70" s="156"/>
      <c r="J70" s="156"/>
    </row>
    <row r="71" spans="3:10" x14ac:dyDescent="0.25">
      <c r="C71" s="156"/>
      <c r="D71" s="156"/>
      <c r="E71" s="156"/>
      <c r="G71" s="156"/>
      <c r="H71" s="156"/>
      <c r="I71" s="156"/>
      <c r="J71" s="156"/>
    </row>
    <row r="72" spans="3:10" x14ac:dyDescent="0.25">
      <c r="C72" s="156"/>
      <c r="D72" s="156"/>
      <c r="E72" s="156"/>
      <c r="G72" s="156"/>
      <c r="H72" s="156"/>
      <c r="I72" s="156"/>
      <c r="J72" s="156"/>
    </row>
    <row r="73" spans="3:10" x14ac:dyDescent="0.25">
      <c r="C73" s="156"/>
      <c r="D73" s="156"/>
      <c r="E73" s="156"/>
      <c r="G73" s="156"/>
      <c r="H73" s="156"/>
      <c r="I73" s="156"/>
      <c r="J73" s="156"/>
    </row>
    <row r="74" spans="3:10" x14ac:dyDescent="0.25">
      <c r="C74" s="156"/>
      <c r="D74" s="156"/>
      <c r="E74" s="156"/>
      <c r="G74" s="156"/>
      <c r="H74" s="156"/>
      <c r="I74" s="156"/>
      <c r="J74" s="156"/>
    </row>
    <row r="75" spans="3:10" x14ac:dyDescent="0.25">
      <c r="C75" s="156"/>
      <c r="D75" s="156"/>
      <c r="E75" s="156"/>
      <c r="G75" s="156"/>
      <c r="H75" s="156"/>
      <c r="I75" s="156"/>
      <c r="J75" s="156"/>
    </row>
    <row r="76" spans="3:10" x14ac:dyDescent="0.25">
      <c r="C76" s="156"/>
      <c r="D76" s="156"/>
      <c r="E76" s="156"/>
      <c r="G76" s="156"/>
      <c r="H76" s="156"/>
      <c r="I76" s="156"/>
      <c r="J76" s="156"/>
    </row>
    <row r="77" spans="3:10" x14ac:dyDescent="0.25">
      <c r="C77" s="156"/>
      <c r="D77" s="156"/>
      <c r="E77" s="156"/>
      <c r="G77" s="156"/>
      <c r="H77" s="156"/>
      <c r="I77" s="156"/>
      <c r="J77" s="156"/>
    </row>
    <row r="78" spans="3:10" x14ac:dyDescent="0.25">
      <c r="C78" s="156"/>
      <c r="D78" s="156"/>
      <c r="E78" s="156"/>
      <c r="G78" s="156"/>
      <c r="H78" s="156"/>
      <c r="I78" s="156"/>
      <c r="J78" s="156"/>
    </row>
    <row r="79" spans="3:10" x14ac:dyDescent="0.25">
      <c r="C79" s="156"/>
      <c r="D79" s="156"/>
      <c r="E79" s="156"/>
      <c r="G79" s="156"/>
      <c r="H79" s="156"/>
      <c r="I79" s="156"/>
      <c r="J79" s="156"/>
    </row>
    <row r="80" spans="3:10" x14ac:dyDescent="0.25">
      <c r="C80" s="156"/>
      <c r="D80" s="156"/>
      <c r="E80" s="156"/>
      <c r="G80" s="156"/>
      <c r="H80" s="156"/>
      <c r="I80" s="156"/>
      <c r="J80" s="156"/>
    </row>
    <row r="81" spans="3:10" x14ac:dyDescent="0.25">
      <c r="C81" s="156"/>
      <c r="D81" s="156"/>
      <c r="E81" s="156"/>
      <c r="G81" s="156"/>
      <c r="H81" s="156"/>
      <c r="I81" s="156"/>
      <c r="J81" s="156"/>
    </row>
    <row r="82" spans="3:10" x14ac:dyDescent="0.25">
      <c r="C82" s="156"/>
      <c r="D82" s="156"/>
      <c r="E82" s="156"/>
      <c r="G82" s="156"/>
      <c r="H82" s="156"/>
      <c r="I82" s="156"/>
      <c r="J82" s="156"/>
    </row>
    <row r="83" spans="3:10" x14ac:dyDescent="0.25">
      <c r="C83" s="156"/>
      <c r="D83" s="156"/>
      <c r="E83" s="156"/>
      <c r="G83" s="156"/>
      <c r="H83" s="156"/>
      <c r="I83" s="156"/>
      <c r="J83" s="156"/>
    </row>
    <row r="84" spans="3:10" x14ac:dyDescent="0.25">
      <c r="C84" s="156"/>
      <c r="D84" s="156"/>
      <c r="E84" s="156"/>
      <c r="G84" s="156"/>
      <c r="H84" s="156"/>
      <c r="I84" s="156"/>
      <c r="J84" s="156"/>
    </row>
    <row r="85" spans="3:10" x14ac:dyDescent="0.25">
      <c r="C85" s="156"/>
      <c r="D85" s="156"/>
      <c r="E85" s="156"/>
      <c r="G85" s="156"/>
      <c r="H85" s="156"/>
      <c r="I85" s="156"/>
      <c r="J85" s="156"/>
    </row>
    <row r="86" spans="3:10" x14ac:dyDescent="0.25">
      <c r="C86" s="156"/>
      <c r="D86" s="156"/>
      <c r="E86" s="156"/>
      <c r="G86" s="156"/>
      <c r="H86" s="156"/>
      <c r="I86" s="156"/>
      <c r="J86" s="156"/>
    </row>
    <row r="87" spans="3:10" x14ac:dyDescent="0.25">
      <c r="C87" s="156"/>
      <c r="D87" s="156"/>
      <c r="E87" s="156"/>
      <c r="G87" s="156"/>
      <c r="H87" s="156"/>
      <c r="I87" s="156"/>
      <c r="J87" s="156"/>
    </row>
    <row r="88" spans="3:10" x14ac:dyDescent="0.25">
      <c r="C88" s="156"/>
      <c r="D88" s="156"/>
      <c r="E88" s="156"/>
      <c r="G88" s="156"/>
      <c r="H88" s="156"/>
      <c r="I88" s="156"/>
      <c r="J88" s="156"/>
    </row>
    <row r="89" spans="3:10" x14ac:dyDescent="0.25">
      <c r="C89" s="156"/>
      <c r="D89" s="156"/>
      <c r="E89" s="156"/>
      <c r="G89" s="156"/>
      <c r="H89" s="156"/>
      <c r="I89" s="156"/>
      <c r="J89" s="156"/>
    </row>
    <row r="90" spans="3:10" x14ac:dyDescent="0.25">
      <c r="C90" s="156"/>
      <c r="D90" s="156"/>
      <c r="E90" s="156"/>
      <c r="G90" s="156"/>
      <c r="H90" s="156"/>
      <c r="I90" s="156"/>
      <c r="J90" s="156"/>
    </row>
    <row r="91" spans="3:10" x14ac:dyDescent="0.25">
      <c r="C91" s="156"/>
      <c r="D91" s="156"/>
      <c r="E91" s="156"/>
      <c r="G91" s="156"/>
      <c r="H91" s="156"/>
      <c r="I91" s="156"/>
      <c r="J91" s="156"/>
    </row>
    <row r="92" spans="3:10" x14ac:dyDescent="0.25">
      <c r="C92" s="156"/>
      <c r="D92" s="156"/>
      <c r="E92" s="156"/>
      <c r="G92" s="156"/>
      <c r="H92" s="156"/>
      <c r="I92" s="156"/>
      <c r="J92" s="156"/>
    </row>
    <row r="93" spans="3:10" x14ac:dyDescent="0.25">
      <c r="C93" s="156"/>
      <c r="D93" s="156"/>
      <c r="E93" s="156"/>
      <c r="G93" s="156"/>
      <c r="H93" s="156"/>
      <c r="I93" s="156"/>
      <c r="J93" s="156"/>
    </row>
    <row r="94" spans="3:10" x14ac:dyDescent="0.25">
      <c r="C94" s="156"/>
      <c r="D94" s="156"/>
      <c r="E94" s="156"/>
      <c r="G94" s="156"/>
      <c r="H94" s="156"/>
      <c r="I94" s="156"/>
      <c r="J94" s="156"/>
    </row>
    <row r="95" spans="3:10" x14ac:dyDescent="0.25">
      <c r="C95" s="156"/>
      <c r="D95" s="156"/>
      <c r="E95" s="156"/>
      <c r="G95" s="156"/>
      <c r="H95" s="156"/>
      <c r="I95" s="156"/>
      <c r="J95" s="156"/>
    </row>
    <row r="96" spans="3:10" x14ac:dyDescent="0.25">
      <c r="C96" s="156"/>
      <c r="D96" s="156"/>
      <c r="E96" s="156"/>
      <c r="G96" s="156"/>
      <c r="H96" s="156"/>
      <c r="I96" s="156"/>
      <c r="J96" s="156"/>
    </row>
    <row r="97" spans="3:10" x14ac:dyDescent="0.25">
      <c r="C97" s="156"/>
      <c r="D97" s="156"/>
      <c r="E97" s="156"/>
      <c r="G97" s="156"/>
      <c r="H97" s="156"/>
      <c r="I97" s="156"/>
      <c r="J97" s="156"/>
    </row>
    <row r="98" spans="3:10" x14ac:dyDescent="0.25">
      <c r="C98" s="156"/>
      <c r="D98" s="156"/>
      <c r="E98" s="156"/>
      <c r="G98" s="156"/>
      <c r="H98" s="156"/>
      <c r="I98" s="156"/>
      <c r="J98" s="156"/>
    </row>
    <row r="99" spans="3:10" x14ac:dyDescent="0.25">
      <c r="C99" s="156"/>
      <c r="D99" s="156"/>
      <c r="E99" s="156"/>
      <c r="G99" s="156"/>
      <c r="H99" s="156"/>
      <c r="I99" s="156"/>
      <c r="J99" s="156"/>
    </row>
    <row r="100" spans="3:10" x14ac:dyDescent="0.25">
      <c r="C100" s="156"/>
      <c r="D100" s="156"/>
      <c r="E100" s="156"/>
      <c r="G100" s="156"/>
      <c r="H100" s="156"/>
      <c r="I100" s="156"/>
      <c r="J100" s="156"/>
    </row>
    <row r="101" spans="3:10" x14ac:dyDescent="0.25">
      <c r="C101" s="156"/>
      <c r="D101" s="156"/>
      <c r="E101" s="156"/>
      <c r="G101" s="156"/>
      <c r="H101" s="156"/>
      <c r="I101" s="156"/>
      <c r="J101" s="156"/>
    </row>
    <row r="102" spans="3:10" x14ac:dyDescent="0.25">
      <c r="C102" s="156"/>
      <c r="D102" s="156"/>
      <c r="E102" s="156"/>
      <c r="G102" s="156"/>
      <c r="H102" s="156"/>
      <c r="I102" s="156"/>
      <c r="J102" s="156"/>
    </row>
    <row r="103" spans="3:10" x14ac:dyDescent="0.25">
      <c r="C103" s="156"/>
      <c r="D103" s="156"/>
      <c r="E103" s="156"/>
      <c r="G103" s="156"/>
      <c r="H103" s="156"/>
      <c r="I103" s="156"/>
      <c r="J103" s="156"/>
    </row>
    <row r="104" spans="3:10" x14ac:dyDescent="0.25">
      <c r="C104" s="156"/>
      <c r="D104" s="156"/>
      <c r="E104" s="156"/>
      <c r="G104" s="156"/>
      <c r="H104" s="156"/>
      <c r="I104" s="156"/>
      <c r="J104" s="156"/>
    </row>
    <row r="105" spans="3:10" x14ac:dyDescent="0.25">
      <c r="C105" s="156"/>
      <c r="D105" s="156"/>
      <c r="E105" s="156"/>
      <c r="G105" s="156"/>
      <c r="H105" s="156"/>
      <c r="I105" s="156"/>
      <c r="J105" s="156"/>
    </row>
    <row r="106" spans="3:10" x14ac:dyDescent="0.25">
      <c r="C106" s="156"/>
      <c r="D106" s="156"/>
      <c r="E106" s="156"/>
      <c r="G106" s="156"/>
      <c r="H106" s="156"/>
      <c r="I106" s="156"/>
      <c r="J106" s="156"/>
    </row>
    <row r="107" spans="3:10" x14ac:dyDescent="0.25">
      <c r="C107" s="156"/>
      <c r="D107" s="156"/>
      <c r="E107" s="156"/>
      <c r="G107" s="156"/>
      <c r="H107" s="156"/>
      <c r="I107" s="156"/>
      <c r="J107" s="156"/>
    </row>
    <row r="108" spans="3:10" x14ac:dyDescent="0.25">
      <c r="C108" s="156"/>
      <c r="D108" s="156"/>
      <c r="E108" s="156"/>
      <c r="G108" s="156"/>
      <c r="H108" s="156"/>
      <c r="I108" s="156"/>
      <c r="J108" s="156"/>
    </row>
    <row r="109" spans="3:10" x14ac:dyDescent="0.25">
      <c r="C109" s="156"/>
      <c r="D109" s="156"/>
      <c r="E109" s="156"/>
      <c r="G109" s="156"/>
      <c r="H109" s="156"/>
      <c r="I109" s="156"/>
      <c r="J109" s="156"/>
    </row>
    <row r="110" spans="3:10" x14ac:dyDescent="0.25">
      <c r="C110" s="156"/>
      <c r="D110" s="156"/>
      <c r="E110" s="156"/>
      <c r="G110" s="156"/>
      <c r="H110" s="156"/>
      <c r="I110" s="156"/>
      <c r="J110" s="156"/>
    </row>
    <row r="111" spans="3:10" x14ac:dyDescent="0.25">
      <c r="C111" s="156"/>
      <c r="D111" s="156"/>
      <c r="E111" s="156"/>
      <c r="G111" s="156"/>
      <c r="H111" s="156"/>
      <c r="I111" s="156"/>
      <c r="J111" s="156"/>
    </row>
    <row r="112" spans="3:10" x14ac:dyDescent="0.25">
      <c r="C112" s="156"/>
      <c r="D112" s="156"/>
      <c r="E112" s="156"/>
      <c r="G112" s="156"/>
      <c r="H112" s="156"/>
      <c r="I112" s="156"/>
      <c r="J112" s="156"/>
    </row>
    <row r="113" spans="3:10" x14ac:dyDescent="0.25">
      <c r="C113" s="156"/>
      <c r="D113" s="156"/>
      <c r="E113" s="156"/>
      <c r="G113" s="156"/>
      <c r="H113" s="156"/>
      <c r="I113" s="156"/>
      <c r="J113" s="156"/>
    </row>
    <row r="114" spans="3:10" x14ac:dyDescent="0.25">
      <c r="C114" s="156"/>
      <c r="D114" s="156"/>
      <c r="E114" s="156"/>
      <c r="G114" s="156"/>
      <c r="H114" s="156"/>
      <c r="I114" s="156"/>
      <c r="J114" s="156"/>
    </row>
    <row r="115" spans="3:10" x14ac:dyDescent="0.25">
      <c r="C115" s="156"/>
      <c r="D115" s="156"/>
      <c r="E115" s="156"/>
      <c r="G115" s="156"/>
      <c r="H115" s="156"/>
      <c r="I115" s="156"/>
      <c r="J115" s="156"/>
    </row>
    <row r="116" spans="3:10" x14ac:dyDescent="0.25">
      <c r="C116" s="156"/>
      <c r="D116" s="156"/>
      <c r="E116" s="156"/>
      <c r="G116" s="156"/>
      <c r="H116" s="156"/>
      <c r="I116" s="156"/>
      <c r="J116" s="156"/>
    </row>
    <row r="117" spans="3:10" x14ac:dyDescent="0.25">
      <c r="C117" s="156"/>
      <c r="D117" s="156"/>
      <c r="E117" s="156"/>
      <c r="G117" s="156"/>
      <c r="H117" s="156"/>
      <c r="I117" s="156"/>
      <c r="J117" s="156"/>
    </row>
    <row r="118" spans="3:10" x14ac:dyDescent="0.25">
      <c r="C118" s="156"/>
      <c r="D118" s="156"/>
      <c r="E118" s="156"/>
      <c r="G118" s="156"/>
      <c r="H118" s="156"/>
      <c r="I118" s="156"/>
      <c r="J118" s="156"/>
    </row>
    <row r="119" spans="3:10" x14ac:dyDescent="0.25">
      <c r="C119" s="156"/>
      <c r="D119" s="156"/>
      <c r="E119" s="156"/>
      <c r="G119" s="156"/>
      <c r="H119" s="156"/>
      <c r="I119" s="156"/>
      <c r="J119" s="156"/>
    </row>
    <row r="120" spans="3:10" x14ac:dyDescent="0.25">
      <c r="C120" s="156"/>
      <c r="D120" s="156"/>
      <c r="E120" s="156"/>
      <c r="G120" s="156"/>
      <c r="H120" s="156"/>
      <c r="I120" s="156"/>
      <c r="J120" s="156"/>
    </row>
    <row r="121" spans="3:10" x14ac:dyDescent="0.25">
      <c r="C121" s="156"/>
      <c r="D121" s="156"/>
      <c r="E121" s="156"/>
      <c r="G121" s="156"/>
      <c r="H121" s="156"/>
      <c r="I121" s="156"/>
      <c r="J121" s="156"/>
    </row>
    <row r="122" spans="3:10" x14ac:dyDescent="0.25">
      <c r="C122" s="156"/>
      <c r="D122" s="156"/>
      <c r="E122" s="156"/>
      <c r="G122" s="156"/>
      <c r="H122" s="156"/>
      <c r="I122" s="156"/>
      <c r="J122" s="156"/>
    </row>
    <row r="123" spans="3:10" x14ac:dyDescent="0.25">
      <c r="C123" s="156"/>
      <c r="D123" s="156"/>
      <c r="E123" s="156"/>
      <c r="G123" s="156"/>
      <c r="H123" s="156"/>
      <c r="I123" s="156"/>
      <c r="J123" s="156"/>
    </row>
    <row r="124" spans="3:10" x14ac:dyDescent="0.25">
      <c r="C124" s="156"/>
      <c r="D124" s="156"/>
      <c r="E124" s="156"/>
      <c r="G124" s="156"/>
      <c r="H124" s="156"/>
      <c r="I124" s="156"/>
      <c r="J124" s="156"/>
    </row>
    <row r="125" spans="3:10" x14ac:dyDescent="0.25">
      <c r="C125" s="156"/>
      <c r="D125" s="156"/>
      <c r="E125" s="156"/>
      <c r="G125" s="156"/>
      <c r="H125" s="156"/>
      <c r="I125" s="156"/>
      <c r="J125" s="156"/>
    </row>
    <row r="126" spans="3:10" x14ac:dyDescent="0.25">
      <c r="C126" s="156"/>
      <c r="D126" s="156"/>
      <c r="E126" s="156"/>
      <c r="G126" s="156"/>
      <c r="H126" s="156"/>
      <c r="I126" s="156"/>
      <c r="J126" s="156"/>
    </row>
    <row r="127" spans="3:10" x14ac:dyDescent="0.25">
      <c r="C127" s="156"/>
      <c r="D127" s="156"/>
      <c r="E127" s="156"/>
      <c r="G127" s="156"/>
      <c r="H127" s="156"/>
      <c r="I127" s="156"/>
      <c r="J127" s="156"/>
    </row>
    <row r="128" spans="3:10" x14ac:dyDescent="0.25">
      <c r="C128" s="156"/>
      <c r="D128" s="156"/>
      <c r="E128" s="156"/>
      <c r="G128" s="156"/>
      <c r="H128" s="156"/>
      <c r="I128" s="156"/>
      <c r="J128" s="156"/>
    </row>
    <row r="129" spans="3:10" x14ac:dyDescent="0.25">
      <c r="C129" s="156"/>
      <c r="D129" s="156"/>
      <c r="E129" s="156"/>
      <c r="G129" s="156"/>
      <c r="H129" s="156"/>
      <c r="I129" s="156"/>
      <c r="J129" s="156"/>
    </row>
    <row r="130" spans="3:10" x14ac:dyDescent="0.25">
      <c r="C130" s="156"/>
      <c r="D130" s="156"/>
      <c r="E130" s="156"/>
      <c r="G130" s="156"/>
      <c r="H130" s="156"/>
      <c r="I130" s="156"/>
      <c r="J130" s="156"/>
    </row>
    <row r="131" spans="3:10" x14ac:dyDescent="0.25">
      <c r="C131" s="156"/>
      <c r="D131" s="156"/>
      <c r="E131" s="156"/>
      <c r="G131" s="156"/>
      <c r="H131" s="156"/>
      <c r="I131" s="156"/>
      <c r="J131" s="156"/>
    </row>
    <row r="132" spans="3:10" x14ac:dyDescent="0.25">
      <c r="C132" s="156"/>
      <c r="D132" s="156"/>
      <c r="E132" s="156"/>
      <c r="G132" s="156"/>
      <c r="H132" s="156"/>
      <c r="I132" s="156"/>
      <c r="J132" s="156"/>
    </row>
    <row r="133" spans="3:10" x14ac:dyDescent="0.25">
      <c r="C133" s="156"/>
      <c r="D133" s="156"/>
      <c r="E133" s="156"/>
      <c r="G133" s="156"/>
      <c r="H133" s="156"/>
      <c r="I133" s="156"/>
      <c r="J133" s="156"/>
    </row>
    <row r="134" spans="3:10" x14ac:dyDescent="0.25">
      <c r="C134" s="156"/>
      <c r="D134" s="156"/>
      <c r="E134" s="156"/>
      <c r="G134" s="156"/>
      <c r="H134" s="156"/>
      <c r="I134" s="156"/>
      <c r="J134" s="156"/>
    </row>
    <row r="135" spans="3:10" x14ac:dyDescent="0.25">
      <c r="C135" s="156"/>
      <c r="D135" s="156"/>
      <c r="E135" s="156"/>
      <c r="G135" s="156"/>
      <c r="H135" s="156"/>
      <c r="I135" s="156"/>
      <c r="J135" s="156"/>
    </row>
    <row r="136" spans="3:10" x14ac:dyDescent="0.25">
      <c r="C136" s="156"/>
      <c r="D136" s="156"/>
      <c r="E136" s="156"/>
      <c r="G136" s="156"/>
      <c r="H136" s="156"/>
      <c r="I136" s="156"/>
      <c r="J136" s="156"/>
    </row>
    <row r="137" spans="3:10" x14ac:dyDescent="0.25">
      <c r="C137" s="156"/>
      <c r="D137" s="156"/>
      <c r="E137" s="156"/>
      <c r="G137" s="156"/>
      <c r="H137" s="156"/>
      <c r="I137" s="156"/>
      <c r="J137" s="156"/>
    </row>
    <row r="138" spans="3:10" x14ac:dyDescent="0.25">
      <c r="C138" s="156"/>
      <c r="D138" s="156"/>
      <c r="E138" s="156"/>
      <c r="G138" s="156"/>
      <c r="H138" s="156"/>
      <c r="I138" s="156"/>
      <c r="J138" s="156"/>
    </row>
    <row r="139" spans="3:10" x14ac:dyDescent="0.25">
      <c r="C139" s="156"/>
      <c r="D139" s="156"/>
      <c r="E139" s="156"/>
      <c r="G139" s="156"/>
      <c r="H139" s="156"/>
      <c r="I139" s="156"/>
      <c r="J139" s="156"/>
    </row>
    <row r="140" spans="3:10" x14ac:dyDescent="0.25">
      <c r="C140" s="156"/>
      <c r="D140" s="156"/>
      <c r="E140" s="156"/>
      <c r="G140" s="156"/>
      <c r="H140" s="156"/>
      <c r="I140" s="156"/>
      <c r="J140" s="156"/>
    </row>
    <row r="141" spans="3:10" x14ac:dyDescent="0.25">
      <c r="C141" s="156"/>
      <c r="D141" s="156"/>
      <c r="E141" s="156"/>
      <c r="G141" s="156"/>
      <c r="H141" s="156"/>
      <c r="I141" s="156"/>
      <c r="J141" s="156"/>
    </row>
    <row r="142" spans="3:10" x14ac:dyDescent="0.25">
      <c r="C142" s="156"/>
      <c r="D142" s="156"/>
      <c r="E142" s="156"/>
      <c r="G142" s="156"/>
      <c r="H142" s="156"/>
      <c r="I142" s="156"/>
      <c r="J142" s="156"/>
    </row>
    <row r="143" spans="3:10" x14ac:dyDescent="0.25">
      <c r="C143" s="156"/>
      <c r="D143" s="156"/>
      <c r="E143" s="156"/>
      <c r="G143" s="156"/>
      <c r="H143" s="156"/>
      <c r="I143" s="156"/>
      <c r="J143" s="156"/>
    </row>
    <row r="144" spans="3:10" x14ac:dyDescent="0.25">
      <c r="C144" s="156"/>
      <c r="D144" s="156"/>
      <c r="E144" s="156"/>
      <c r="G144" s="156"/>
      <c r="H144" s="156"/>
      <c r="I144" s="156"/>
      <c r="J144" s="156"/>
    </row>
    <row r="145" spans="3:10" x14ac:dyDescent="0.25">
      <c r="C145" s="156"/>
      <c r="D145" s="156"/>
      <c r="E145" s="156"/>
      <c r="G145" s="156"/>
      <c r="H145" s="156"/>
      <c r="I145" s="156"/>
      <c r="J145" s="156"/>
    </row>
    <row r="146" spans="3:10" x14ac:dyDescent="0.25">
      <c r="C146" s="156"/>
      <c r="D146" s="156"/>
      <c r="E146" s="156"/>
      <c r="G146" s="156"/>
      <c r="H146" s="156"/>
      <c r="I146" s="156"/>
      <c r="J146" s="156"/>
    </row>
    <row r="147" spans="3:10" x14ac:dyDescent="0.25">
      <c r="C147" s="156"/>
      <c r="D147" s="156"/>
      <c r="E147" s="156"/>
      <c r="G147" s="156"/>
      <c r="H147" s="156"/>
      <c r="I147" s="156"/>
      <c r="J147" s="156"/>
    </row>
    <row r="148" spans="3:10" x14ac:dyDescent="0.25">
      <c r="C148" s="156"/>
      <c r="D148" s="156"/>
      <c r="E148" s="156"/>
      <c r="G148" s="156"/>
      <c r="H148" s="156"/>
      <c r="I148" s="156"/>
      <c r="J148" s="156"/>
    </row>
    <row r="149" spans="3:10" x14ac:dyDescent="0.25">
      <c r="C149" s="156"/>
      <c r="D149" s="156"/>
      <c r="E149" s="156"/>
      <c r="G149" s="156"/>
      <c r="H149" s="156"/>
      <c r="I149" s="156"/>
      <c r="J149" s="156"/>
    </row>
    <row r="150" spans="3:10" x14ac:dyDescent="0.25">
      <c r="C150" s="156"/>
      <c r="D150" s="156"/>
      <c r="E150" s="156"/>
      <c r="G150" s="156"/>
      <c r="H150" s="156"/>
      <c r="I150" s="156"/>
      <c r="J150" s="156"/>
    </row>
    <row r="151" spans="3:10" x14ac:dyDescent="0.25">
      <c r="C151" s="156"/>
      <c r="D151" s="156"/>
      <c r="E151" s="156"/>
      <c r="G151" s="156"/>
      <c r="H151" s="156"/>
      <c r="I151" s="156"/>
      <c r="J151" s="156"/>
    </row>
    <row r="152" spans="3:10" x14ac:dyDescent="0.25">
      <c r="C152" s="156"/>
      <c r="D152" s="156"/>
      <c r="E152" s="156"/>
      <c r="G152" s="156"/>
      <c r="H152" s="156"/>
      <c r="I152" s="156"/>
      <c r="J152" s="156"/>
    </row>
    <row r="153" spans="3:10" x14ac:dyDescent="0.25">
      <c r="C153" s="156"/>
      <c r="D153" s="156"/>
      <c r="E153" s="156"/>
      <c r="G153" s="156"/>
      <c r="H153" s="156"/>
      <c r="I153" s="156"/>
      <c r="J153" s="156"/>
    </row>
    <row r="154" spans="3:10" x14ac:dyDescent="0.25">
      <c r="C154" s="156"/>
      <c r="D154" s="156"/>
      <c r="E154" s="156"/>
      <c r="G154" s="156"/>
      <c r="H154" s="156"/>
      <c r="I154" s="156"/>
      <c r="J154" s="156"/>
    </row>
    <row r="155" spans="3:10" x14ac:dyDescent="0.25">
      <c r="C155" s="156"/>
      <c r="D155" s="156"/>
      <c r="E155" s="156"/>
      <c r="G155" s="156"/>
      <c r="H155" s="156"/>
      <c r="I155" s="156"/>
      <c r="J155" s="156"/>
    </row>
    <row r="156" spans="3:10" x14ac:dyDescent="0.25">
      <c r="C156" s="156"/>
      <c r="D156" s="156"/>
      <c r="E156" s="156"/>
      <c r="G156" s="156"/>
      <c r="H156" s="156"/>
      <c r="I156" s="156"/>
      <c r="J156" s="156"/>
    </row>
    <row r="157" spans="3:10" x14ac:dyDescent="0.25">
      <c r="C157" s="156"/>
      <c r="D157" s="156"/>
      <c r="E157" s="156"/>
      <c r="G157" s="156"/>
      <c r="H157" s="156"/>
      <c r="I157" s="156"/>
      <c r="J157" s="156"/>
    </row>
    <row r="158" spans="3:10" x14ac:dyDescent="0.25">
      <c r="C158" s="156"/>
      <c r="D158" s="156"/>
      <c r="E158" s="156"/>
      <c r="G158" s="156"/>
      <c r="H158" s="156"/>
      <c r="I158" s="156"/>
      <c r="J158" s="156"/>
    </row>
    <row r="159" spans="3:10" x14ac:dyDescent="0.25">
      <c r="C159" s="156"/>
      <c r="D159" s="156"/>
      <c r="E159" s="156"/>
      <c r="G159" s="156"/>
      <c r="H159" s="156"/>
      <c r="I159" s="156"/>
      <c r="J159" s="156"/>
    </row>
    <row r="160" spans="3:10" x14ac:dyDescent="0.25">
      <c r="C160" s="156"/>
      <c r="D160" s="156"/>
      <c r="E160" s="156"/>
      <c r="G160" s="156"/>
      <c r="H160" s="156"/>
      <c r="I160" s="156"/>
      <c r="J160" s="156"/>
    </row>
    <row r="161" spans="3:10" x14ac:dyDescent="0.25">
      <c r="C161" s="156"/>
      <c r="D161" s="156"/>
      <c r="E161" s="156"/>
      <c r="G161" s="156"/>
      <c r="H161" s="156"/>
      <c r="I161" s="156"/>
      <c r="J161" s="156"/>
    </row>
    <row r="162" spans="3:10" x14ac:dyDescent="0.25">
      <c r="C162" s="156"/>
      <c r="D162" s="156"/>
      <c r="E162" s="156"/>
      <c r="G162" s="156"/>
      <c r="H162" s="156"/>
      <c r="I162" s="156"/>
      <c r="J162" s="156"/>
    </row>
    <row r="163" spans="3:10" x14ac:dyDescent="0.25">
      <c r="C163" s="156"/>
      <c r="D163" s="156"/>
      <c r="E163" s="156"/>
      <c r="G163" s="156"/>
      <c r="H163" s="156"/>
      <c r="I163" s="156"/>
      <c r="J163" s="156"/>
    </row>
    <row r="164" spans="3:10" x14ac:dyDescent="0.25">
      <c r="C164" s="156"/>
      <c r="D164" s="156"/>
      <c r="E164" s="156"/>
      <c r="G164" s="156"/>
      <c r="H164" s="156"/>
      <c r="I164" s="156"/>
      <c r="J164" s="156"/>
    </row>
    <row r="165" spans="3:10" x14ac:dyDescent="0.25">
      <c r="C165" s="156"/>
      <c r="D165" s="156"/>
      <c r="E165" s="156"/>
      <c r="G165" s="156"/>
      <c r="H165" s="156"/>
      <c r="I165" s="156"/>
      <c r="J165" s="156"/>
    </row>
    <row r="166" spans="3:10" x14ac:dyDescent="0.25">
      <c r="C166" s="156"/>
      <c r="D166" s="156"/>
      <c r="E166" s="156"/>
      <c r="G166" s="156"/>
      <c r="H166" s="156"/>
      <c r="I166" s="156"/>
      <c r="J166" s="156"/>
    </row>
    <row r="167" spans="3:10" x14ac:dyDescent="0.25">
      <c r="C167" s="156"/>
      <c r="D167" s="156"/>
      <c r="E167" s="156"/>
      <c r="G167" s="156"/>
      <c r="H167" s="156"/>
      <c r="I167" s="156"/>
      <c r="J167" s="156"/>
    </row>
    <row r="168" spans="3:10" x14ac:dyDescent="0.25">
      <c r="C168" s="156"/>
      <c r="D168" s="156"/>
      <c r="E168" s="156"/>
      <c r="G168" s="156"/>
      <c r="H168" s="156"/>
      <c r="I168" s="156"/>
      <c r="J168" s="156"/>
    </row>
    <row r="169" spans="3:10" x14ac:dyDescent="0.25">
      <c r="C169" s="156"/>
      <c r="D169" s="156"/>
      <c r="E169" s="156"/>
      <c r="G169" s="156"/>
      <c r="H169" s="156"/>
      <c r="I169" s="156"/>
      <c r="J169" s="156"/>
    </row>
    <row r="170" spans="3:10" x14ac:dyDescent="0.25">
      <c r="C170" s="156"/>
      <c r="D170" s="156"/>
      <c r="E170" s="156"/>
      <c r="G170" s="156"/>
      <c r="H170" s="156"/>
      <c r="I170" s="156"/>
      <c r="J170" s="156"/>
    </row>
    <row r="171" spans="3:10" x14ac:dyDescent="0.25">
      <c r="C171" s="156"/>
      <c r="D171" s="156"/>
      <c r="E171" s="156"/>
      <c r="G171" s="156"/>
      <c r="H171" s="156"/>
      <c r="I171" s="156"/>
      <c r="J171" s="156"/>
    </row>
    <row r="172" spans="3:10" x14ac:dyDescent="0.25">
      <c r="C172" s="156"/>
      <c r="D172" s="156"/>
      <c r="E172" s="156"/>
      <c r="G172" s="156"/>
      <c r="H172" s="156"/>
      <c r="I172" s="156"/>
      <c r="J172" s="156"/>
    </row>
    <row r="173" spans="3:10" x14ac:dyDescent="0.25">
      <c r="C173" s="156"/>
      <c r="D173" s="156"/>
      <c r="E173" s="156"/>
      <c r="G173" s="156"/>
      <c r="H173" s="156"/>
      <c r="I173" s="156"/>
      <c r="J173" s="156"/>
    </row>
    <row r="174" spans="3:10" x14ac:dyDescent="0.25">
      <c r="C174" s="156"/>
      <c r="D174" s="156"/>
      <c r="E174" s="156"/>
      <c r="G174" s="156"/>
      <c r="H174" s="156"/>
      <c r="I174" s="156"/>
      <c r="J174" s="156"/>
    </row>
    <row r="175" spans="3:10" x14ac:dyDescent="0.25">
      <c r="C175" s="156"/>
      <c r="D175" s="156"/>
      <c r="E175" s="156"/>
      <c r="G175" s="156"/>
      <c r="H175" s="156"/>
      <c r="I175" s="156"/>
      <c r="J175" s="156"/>
    </row>
    <row r="176" spans="3:10" x14ac:dyDescent="0.25">
      <c r="C176" s="156"/>
      <c r="D176" s="156"/>
      <c r="E176" s="156"/>
      <c r="G176" s="156"/>
      <c r="H176" s="156"/>
      <c r="I176" s="156"/>
      <c r="J176" s="156"/>
    </row>
    <row r="177" spans="3:10" x14ac:dyDescent="0.25">
      <c r="C177" s="156"/>
      <c r="D177" s="156"/>
      <c r="E177" s="156"/>
      <c r="G177" s="156"/>
      <c r="H177" s="156"/>
      <c r="I177" s="156"/>
      <c r="J177" s="156"/>
    </row>
    <row r="178" spans="3:10" x14ac:dyDescent="0.25">
      <c r="C178" s="156"/>
      <c r="D178" s="156"/>
      <c r="E178" s="156"/>
      <c r="G178" s="156"/>
      <c r="H178" s="156"/>
      <c r="I178" s="156"/>
      <c r="J178" s="156"/>
    </row>
    <row r="179" spans="3:10" x14ac:dyDescent="0.25">
      <c r="C179" s="156"/>
      <c r="D179" s="156"/>
      <c r="E179" s="156"/>
      <c r="G179" s="156"/>
      <c r="H179" s="156"/>
      <c r="I179" s="156"/>
      <c r="J179" s="156"/>
    </row>
    <row r="180" spans="3:10" x14ac:dyDescent="0.25">
      <c r="C180" s="156"/>
      <c r="D180" s="156"/>
      <c r="E180" s="156"/>
      <c r="G180" s="156"/>
      <c r="H180" s="156"/>
      <c r="I180" s="156"/>
      <c r="J180" s="156"/>
    </row>
    <row r="181" spans="3:10" x14ac:dyDescent="0.25">
      <c r="C181" s="156"/>
      <c r="D181" s="156"/>
      <c r="E181" s="156"/>
      <c r="G181" s="156"/>
      <c r="H181" s="156"/>
      <c r="I181" s="156"/>
      <c r="J181" s="156"/>
    </row>
    <row r="182" spans="3:10" x14ac:dyDescent="0.25">
      <c r="C182" s="156"/>
      <c r="D182" s="156"/>
      <c r="E182" s="156"/>
      <c r="G182" s="156"/>
      <c r="H182" s="156"/>
      <c r="I182" s="156"/>
      <c r="J182" s="156"/>
    </row>
    <row r="183" spans="3:10" x14ac:dyDescent="0.25">
      <c r="C183" s="156"/>
      <c r="D183" s="156"/>
      <c r="E183" s="156"/>
      <c r="G183" s="156"/>
      <c r="H183" s="156"/>
      <c r="I183" s="156"/>
      <c r="J183" s="156"/>
    </row>
    <row r="184" spans="3:10" x14ac:dyDescent="0.25">
      <c r="C184" s="156"/>
      <c r="D184" s="156"/>
      <c r="E184" s="156"/>
      <c r="G184" s="156"/>
      <c r="H184" s="156"/>
      <c r="I184" s="156"/>
      <c r="J184" s="156"/>
    </row>
    <row r="185" spans="3:10" x14ac:dyDescent="0.25">
      <c r="C185" s="156"/>
      <c r="D185" s="156"/>
      <c r="E185" s="156"/>
      <c r="G185" s="156"/>
      <c r="H185" s="156"/>
      <c r="I185" s="156"/>
      <c r="J185" s="156"/>
    </row>
    <row r="186" spans="3:10" x14ac:dyDescent="0.25">
      <c r="C186" s="156"/>
      <c r="D186" s="156"/>
      <c r="E186" s="156"/>
      <c r="G186" s="156"/>
      <c r="H186" s="156"/>
      <c r="I186" s="156"/>
      <c r="J186" s="156"/>
    </row>
    <row r="187" spans="3:10" x14ac:dyDescent="0.25">
      <c r="C187" s="156"/>
      <c r="D187" s="156"/>
      <c r="E187" s="156"/>
      <c r="G187" s="156"/>
      <c r="H187" s="156"/>
      <c r="I187" s="156"/>
      <c r="J187" s="156"/>
    </row>
    <row r="188" spans="3:10" x14ac:dyDescent="0.25">
      <c r="C188" s="156"/>
      <c r="D188" s="156"/>
      <c r="E188" s="156"/>
      <c r="G188" s="156"/>
      <c r="H188" s="156"/>
      <c r="I188" s="156"/>
      <c r="J188" s="156"/>
    </row>
    <row r="189" spans="3:10" x14ac:dyDescent="0.25">
      <c r="C189" s="156"/>
      <c r="D189" s="156"/>
      <c r="E189" s="156"/>
      <c r="G189" s="156"/>
      <c r="H189" s="156"/>
      <c r="I189" s="156"/>
      <c r="J189" s="156"/>
    </row>
    <row r="190" spans="3:10" x14ac:dyDescent="0.25">
      <c r="C190" s="156"/>
      <c r="D190" s="156"/>
      <c r="E190" s="156"/>
      <c r="G190" s="156"/>
      <c r="H190" s="156"/>
      <c r="I190" s="156"/>
      <c r="J190" s="156"/>
    </row>
    <row r="191" spans="3:10" x14ac:dyDescent="0.25">
      <c r="C191" s="156"/>
      <c r="D191" s="156"/>
      <c r="E191" s="156"/>
      <c r="G191" s="156"/>
      <c r="H191" s="156"/>
      <c r="I191" s="156"/>
      <c r="J191" s="156"/>
    </row>
    <row r="192" spans="3:10" x14ac:dyDescent="0.25">
      <c r="C192" s="156"/>
      <c r="D192" s="156"/>
      <c r="E192" s="156"/>
      <c r="G192" s="156"/>
      <c r="H192" s="156"/>
      <c r="I192" s="156"/>
      <c r="J192" s="156"/>
    </row>
    <row r="193" spans="3:10" x14ac:dyDescent="0.25">
      <c r="C193" s="156"/>
      <c r="D193" s="156"/>
      <c r="E193" s="156"/>
      <c r="G193" s="156"/>
      <c r="H193" s="156"/>
      <c r="I193" s="156"/>
      <c r="J193" s="156"/>
    </row>
    <row r="194" spans="3:10" x14ac:dyDescent="0.25">
      <c r="C194" s="156"/>
      <c r="D194" s="156"/>
      <c r="E194" s="156"/>
      <c r="G194" s="156"/>
      <c r="H194" s="156"/>
      <c r="I194" s="156"/>
      <c r="J194" s="156"/>
    </row>
    <row r="195" spans="3:10" x14ac:dyDescent="0.25">
      <c r="C195" s="156"/>
      <c r="D195" s="156"/>
      <c r="E195" s="156"/>
      <c r="G195" s="156"/>
      <c r="H195" s="156"/>
      <c r="I195" s="156"/>
      <c r="J195" s="156"/>
    </row>
    <row r="196" spans="3:10" x14ac:dyDescent="0.25">
      <c r="C196" s="156"/>
      <c r="D196" s="156"/>
      <c r="E196" s="156"/>
      <c r="G196" s="156"/>
      <c r="H196" s="156"/>
      <c r="I196" s="156"/>
      <c r="J196" s="156"/>
    </row>
    <row r="197" spans="3:10" x14ac:dyDescent="0.25">
      <c r="C197" s="156"/>
      <c r="D197" s="156"/>
      <c r="E197" s="156"/>
      <c r="G197" s="156"/>
      <c r="H197" s="156"/>
      <c r="I197" s="156"/>
      <c r="J197" s="156"/>
    </row>
    <row r="198" spans="3:10" x14ac:dyDescent="0.25">
      <c r="C198" s="156"/>
      <c r="D198" s="156"/>
      <c r="E198" s="156"/>
      <c r="G198" s="156"/>
      <c r="H198" s="156"/>
      <c r="I198" s="156"/>
      <c r="J198" s="156"/>
    </row>
    <row r="199" spans="3:10" x14ac:dyDescent="0.25">
      <c r="C199" s="156"/>
      <c r="D199" s="156"/>
      <c r="E199" s="156"/>
      <c r="G199" s="156"/>
      <c r="H199" s="156"/>
      <c r="I199" s="156"/>
      <c r="J199" s="156"/>
    </row>
    <row r="200" spans="3:10" x14ac:dyDescent="0.25">
      <c r="C200" s="156"/>
      <c r="D200" s="156"/>
      <c r="E200" s="156"/>
      <c r="G200" s="156"/>
      <c r="H200" s="156"/>
      <c r="I200" s="156"/>
      <c r="J200" s="156"/>
    </row>
    <row r="201" spans="3:10" x14ac:dyDescent="0.25">
      <c r="C201" s="156"/>
      <c r="D201" s="156"/>
      <c r="E201" s="156"/>
      <c r="G201" s="156"/>
      <c r="H201" s="156"/>
      <c r="I201" s="156"/>
      <c r="J201" s="156"/>
    </row>
    <row r="202" spans="3:10" x14ac:dyDescent="0.25">
      <c r="C202" s="156"/>
      <c r="D202" s="156"/>
      <c r="E202" s="156"/>
      <c r="G202" s="156"/>
      <c r="H202" s="156"/>
      <c r="I202" s="156"/>
      <c r="J202" s="156"/>
    </row>
    <row r="203" spans="3:10" x14ac:dyDescent="0.25">
      <c r="C203" s="156"/>
      <c r="D203" s="156"/>
      <c r="E203" s="156"/>
      <c r="G203" s="156"/>
      <c r="H203" s="156"/>
      <c r="I203" s="156"/>
      <c r="J203" s="156"/>
    </row>
    <row r="204" spans="3:10" x14ac:dyDescent="0.25">
      <c r="C204" s="156"/>
      <c r="D204" s="156"/>
      <c r="E204" s="156"/>
      <c r="G204" s="156"/>
      <c r="H204" s="156"/>
      <c r="I204" s="156"/>
      <c r="J204" s="156"/>
    </row>
    <row r="205" spans="3:10" x14ac:dyDescent="0.25">
      <c r="C205" s="156"/>
      <c r="D205" s="156"/>
      <c r="E205" s="156"/>
      <c r="G205" s="156"/>
      <c r="H205" s="156"/>
      <c r="I205" s="156"/>
      <c r="J205" s="156"/>
    </row>
  </sheetData>
  <mergeCells count="16">
    <mergeCell ref="K23:M23"/>
    <mergeCell ref="C30:D30"/>
    <mergeCell ref="K5:M5"/>
    <mergeCell ref="K8:M8"/>
    <mergeCell ref="K9:M9"/>
    <mergeCell ref="K10:M10"/>
    <mergeCell ref="K11:M11"/>
    <mergeCell ref="K14:M14"/>
    <mergeCell ref="K12:M12"/>
    <mergeCell ref="K18:M18"/>
    <mergeCell ref="A16:M16"/>
    <mergeCell ref="A1:M1"/>
    <mergeCell ref="K3:M3"/>
    <mergeCell ref="K4:M4"/>
    <mergeCell ref="K7:M7"/>
    <mergeCell ref="C15:D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9964-CB30-4BD7-A934-4C910AFA5E8F}">
  <sheetPr>
    <pageSetUpPr fitToPage="1"/>
  </sheetPr>
  <dimension ref="A1:O15"/>
  <sheetViews>
    <sheetView topLeftCell="A4" zoomScale="70" zoomScaleNormal="70" workbookViewId="0">
      <selection activeCell="K8" sqref="K8:M8"/>
    </sheetView>
  </sheetViews>
  <sheetFormatPr defaultRowHeight="15" x14ac:dyDescent="0.25"/>
  <cols>
    <col min="1" max="1" width="3.85546875" bestFit="1" customWidth="1"/>
    <col min="2" max="2" width="19.7109375" customWidth="1"/>
    <col min="3" max="3" width="12.42578125" customWidth="1"/>
    <col min="4" max="4" width="24.85546875" customWidth="1"/>
    <col min="5" max="5" width="24.7109375" customWidth="1"/>
    <col min="6" max="6" width="15.28515625" bestFit="1" customWidth="1"/>
    <col min="7" max="7" width="11" customWidth="1"/>
    <col min="8" max="8" width="12.5703125" customWidth="1"/>
    <col min="9" max="9" width="12.140625" bestFit="1" customWidth="1"/>
    <col min="10" max="10" width="12" customWidth="1"/>
    <col min="11" max="11" width="10.140625" customWidth="1"/>
    <col min="12" max="12" width="16" style="248" bestFit="1" customWidth="1"/>
    <col min="13" max="13" width="12" style="248" bestFit="1" customWidth="1"/>
    <col min="14" max="14" width="44.5703125" customWidth="1"/>
    <col min="15" max="15" width="15.140625" bestFit="1" customWidth="1"/>
  </cols>
  <sheetData>
    <row r="1" spans="1:15" ht="20.25" x14ac:dyDescent="0.25">
      <c r="A1" s="339" t="s">
        <v>1077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1"/>
      <c r="N1" s="191" t="s">
        <v>824</v>
      </c>
      <c r="O1" s="192">
        <v>44333</v>
      </c>
    </row>
    <row r="2" spans="1:15" ht="63" x14ac:dyDescent="0.25">
      <c r="A2" s="157" t="s">
        <v>554</v>
      </c>
      <c r="B2" s="233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159" t="s">
        <v>7</v>
      </c>
      <c r="H2" s="235" t="s">
        <v>1078</v>
      </c>
      <c r="I2" s="236" t="s">
        <v>631</v>
      </c>
      <c r="J2" s="235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5" ht="60" customHeight="1" x14ac:dyDescent="0.25">
      <c r="A3" s="163">
        <v>1</v>
      </c>
      <c r="B3" s="163" t="s">
        <v>841</v>
      </c>
      <c r="C3" s="164" t="s">
        <v>842</v>
      </c>
      <c r="D3" s="164" t="s">
        <v>843</v>
      </c>
      <c r="E3" s="164" t="s">
        <v>892</v>
      </c>
      <c r="F3" s="163" t="s">
        <v>845</v>
      </c>
      <c r="G3" s="166">
        <v>4770</v>
      </c>
      <c r="H3" s="234">
        <v>1920.06</v>
      </c>
      <c r="I3" s="234">
        <f>1963.14+159.05</f>
        <v>2122.19</v>
      </c>
      <c r="J3" s="234">
        <f>MIN(H3+I3,G3)</f>
        <v>4042.25</v>
      </c>
      <c r="K3" s="234">
        <v>1</v>
      </c>
      <c r="L3" s="200" t="s">
        <v>1085</v>
      </c>
      <c r="M3" s="105" t="s">
        <v>120</v>
      </c>
      <c r="N3" s="164" t="s">
        <v>1079</v>
      </c>
      <c r="O3" s="237" t="s">
        <v>1080</v>
      </c>
    </row>
    <row r="4" spans="1:15" ht="60" customHeight="1" x14ac:dyDescent="0.25">
      <c r="A4" s="163">
        <v>2</v>
      </c>
      <c r="B4" s="163" t="s">
        <v>861</v>
      </c>
      <c r="C4" s="164" t="s">
        <v>954</v>
      </c>
      <c r="D4" s="164" t="s">
        <v>858</v>
      </c>
      <c r="E4" s="164" t="s">
        <v>863</v>
      </c>
      <c r="F4" s="163" t="s">
        <v>864</v>
      </c>
      <c r="G4" s="166">
        <v>2390</v>
      </c>
      <c r="H4" s="163">
        <v>660.07</v>
      </c>
      <c r="I4" s="234">
        <f>1046.33+159.04</f>
        <v>1205.3699999999999</v>
      </c>
      <c r="J4" s="234">
        <f t="shared" ref="J4:J9" si="0">MIN(H4+I4,G4)</f>
        <v>1865.44</v>
      </c>
      <c r="K4" s="234">
        <v>1</v>
      </c>
      <c r="L4" s="200" t="s">
        <v>1086</v>
      </c>
      <c r="M4" s="105" t="s">
        <v>120</v>
      </c>
      <c r="N4" s="164" t="s">
        <v>1079</v>
      </c>
      <c r="O4" s="237" t="s">
        <v>1080</v>
      </c>
    </row>
    <row r="5" spans="1:15" ht="60" customHeight="1" x14ac:dyDescent="0.25">
      <c r="A5" s="163">
        <v>3</v>
      </c>
      <c r="B5" s="163" t="s">
        <v>875</v>
      </c>
      <c r="C5" s="164" t="s">
        <v>871</v>
      </c>
      <c r="D5" s="164" t="s">
        <v>876</v>
      </c>
      <c r="E5" s="164" t="s">
        <v>877</v>
      </c>
      <c r="F5" s="163" t="s">
        <v>874</v>
      </c>
      <c r="G5" s="166">
        <v>2390</v>
      </c>
      <c r="H5" s="234">
        <v>381.08</v>
      </c>
      <c r="I5" s="234">
        <f>728.27+159.04</f>
        <v>887.31</v>
      </c>
      <c r="J5" s="234">
        <f t="shared" si="0"/>
        <v>1268.3899999999999</v>
      </c>
      <c r="K5" s="234">
        <v>1</v>
      </c>
      <c r="L5" s="200" t="s">
        <v>1087</v>
      </c>
      <c r="M5" s="105" t="s">
        <v>120</v>
      </c>
      <c r="N5" s="164" t="s">
        <v>1079</v>
      </c>
      <c r="O5" s="237" t="s">
        <v>1080</v>
      </c>
    </row>
    <row r="6" spans="1:15" ht="60" customHeight="1" x14ac:dyDescent="0.25">
      <c r="A6" s="163">
        <v>4</v>
      </c>
      <c r="B6" s="163" t="s">
        <v>894</v>
      </c>
      <c r="C6" s="164" t="s">
        <v>955</v>
      </c>
      <c r="D6" s="164" t="s">
        <v>896</v>
      </c>
      <c r="E6" s="164" t="s">
        <v>897</v>
      </c>
      <c r="F6" s="163" t="s">
        <v>898</v>
      </c>
      <c r="G6" s="166">
        <v>1720</v>
      </c>
      <c r="H6" s="234">
        <v>414.83</v>
      </c>
      <c r="I6" s="234">
        <f>2014.64+127.42</f>
        <v>2142.06</v>
      </c>
      <c r="J6" s="234">
        <f t="shared" si="0"/>
        <v>1720</v>
      </c>
      <c r="K6" s="234">
        <v>1</v>
      </c>
      <c r="L6" s="200" t="s">
        <v>1085</v>
      </c>
      <c r="M6" s="105" t="s">
        <v>120</v>
      </c>
      <c r="N6" s="164" t="s">
        <v>1081</v>
      </c>
      <c r="O6" s="237" t="s">
        <v>1080</v>
      </c>
    </row>
    <row r="7" spans="1:15" ht="60" customHeight="1" x14ac:dyDescent="0.25">
      <c r="A7" s="163">
        <v>5</v>
      </c>
      <c r="B7" s="163" t="s">
        <v>899</v>
      </c>
      <c r="C7" s="164" t="s">
        <v>957</v>
      </c>
      <c r="D7" s="164" t="s">
        <v>901</v>
      </c>
      <c r="E7" s="164" t="s">
        <v>902</v>
      </c>
      <c r="F7" s="163" t="s">
        <v>903</v>
      </c>
      <c r="G7" s="166">
        <v>2140</v>
      </c>
      <c r="H7" s="234">
        <v>858.86</v>
      </c>
      <c r="I7" s="234">
        <f>1084.27+127.42</f>
        <v>1211.69</v>
      </c>
      <c r="J7" s="234">
        <f t="shared" si="0"/>
        <v>2070.5500000000002</v>
      </c>
      <c r="K7" s="234">
        <v>1</v>
      </c>
      <c r="L7" s="200" t="s">
        <v>1086</v>
      </c>
      <c r="M7" s="105" t="s">
        <v>120</v>
      </c>
      <c r="N7" s="164" t="s">
        <v>1081</v>
      </c>
      <c r="O7" s="237" t="s">
        <v>1080</v>
      </c>
    </row>
    <row r="8" spans="1:15" ht="60" customHeight="1" x14ac:dyDescent="0.25">
      <c r="A8" s="163">
        <v>6</v>
      </c>
      <c r="B8" s="163" t="s">
        <v>926</v>
      </c>
      <c r="C8" s="164" t="s">
        <v>927</v>
      </c>
      <c r="D8" s="164" t="s">
        <v>928</v>
      </c>
      <c r="E8" s="169" t="s">
        <v>929</v>
      </c>
      <c r="F8" s="163" t="s">
        <v>930</v>
      </c>
      <c r="G8" s="166">
        <v>2390</v>
      </c>
      <c r="H8" s="234">
        <v>291.66000000000003</v>
      </c>
      <c r="I8" s="234">
        <f>1041.56+127.41</f>
        <v>1168.97</v>
      </c>
      <c r="J8" s="234">
        <f t="shared" si="0"/>
        <v>1460.63</v>
      </c>
      <c r="K8" s="105" t="s">
        <v>120</v>
      </c>
      <c r="L8" s="105" t="s">
        <v>120</v>
      </c>
      <c r="M8" s="105" t="s">
        <v>120</v>
      </c>
      <c r="N8" s="164" t="s">
        <v>1081</v>
      </c>
      <c r="O8" s="237" t="s">
        <v>1080</v>
      </c>
    </row>
    <row r="9" spans="1:15" ht="60" customHeight="1" x14ac:dyDescent="0.25">
      <c r="A9" s="163">
        <v>7</v>
      </c>
      <c r="B9" s="163" t="s">
        <v>995</v>
      </c>
      <c r="C9" s="164" t="s">
        <v>996</v>
      </c>
      <c r="D9" s="164" t="s">
        <v>997</v>
      </c>
      <c r="E9" s="164" t="s">
        <v>998</v>
      </c>
      <c r="F9" s="163" t="s">
        <v>999</v>
      </c>
      <c r="G9" s="166">
        <v>140</v>
      </c>
      <c r="H9" s="208">
        <v>250.18</v>
      </c>
      <c r="I9" s="234">
        <f>2094.4+78.25</f>
        <v>2172.65</v>
      </c>
      <c r="J9" s="234">
        <f t="shared" si="0"/>
        <v>140</v>
      </c>
      <c r="K9" s="234">
        <v>1</v>
      </c>
      <c r="L9" s="200" t="s">
        <v>1088</v>
      </c>
      <c r="M9" s="105" t="s">
        <v>120</v>
      </c>
      <c r="N9" s="164" t="s">
        <v>1082</v>
      </c>
      <c r="O9" s="237" t="s">
        <v>1080</v>
      </c>
    </row>
    <row r="10" spans="1:15" ht="60" customHeight="1" x14ac:dyDescent="0.25">
      <c r="A10" s="163">
        <v>8</v>
      </c>
      <c r="B10" s="209" t="s">
        <v>1018</v>
      </c>
      <c r="C10" s="210" t="s">
        <v>1019</v>
      </c>
      <c r="D10" s="210" t="s">
        <v>1020</v>
      </c>
      <c r="E10" s="210" t="s">
        <v>1021</v>
      </c>
      <c r="F10" s="209" t="s">
        <v>1022</v>
      </c>
      <c r="G10" s="212" t="s">
        <v>1083</v>
      </c>
      <c r="H10" s="213" t="s">
        <v>1083</v>
      </c>
      <c r="I10" s="213" t="s">
        <v>1083</v>
      </c>
      <c r="J10" s="213" t="s">
        <v>1083</v>
      </c>
      <c r="K10" s="357" t="s">
        <v>758</v>
      </c>
      <c r="L10" s="358"/>
      <c r="M10" s="359"/>
      <c r="N10" s="210" t="s">
        <v>1082</v>
      </c>
      <c r="O10" s="238" t="s">
        <v>1080</v>
      </c>
    </row>
    <row r="11" spans="1:15" ht="60" customHeight="1" x14ac:dyDescent="0.25">
      <c r="A11" s="163">
        <v>9</v>
      </c>
      <c r="B11" s="163" t="s">
        <v>1057</v>
      </c>
      <c r="C11" s="164" t="s">
        <v>1058</v>
      </c>
      <c r="D11" s="164" t="s">
        <v>1059</v>
      </c>
      <c r="E11" s="164" t="s">
        <v>1060</v>
      </c>
      <c r="F11" s="163" t="s">
        <v>1061</v>
      </c>
      <c r="G11" s="166">
        <v>1930</v>
      </c>
      <c r="H11" s="234">
        <v>92.92</v>
      </c>
      <c r="I11" s="234">
        <f>1048.35+45.05</f>
        <v>1093.3999999999999</v>
      </c>
      <c r="J11" s="234">
        <f t="shared" ref="J11:J13" si="1">MIN(H11+I11,G11)</f>
        <v>1186.32</v>
      </c>
      <c r="K11" s="234">
        <v>1</v>
      </c>
      <c r="L11" s="163" t="s">
        <v>1089</v>
      </c>
      <c r="M11" s="105" t="s">
        <v>120</v>
      </c>
      <c r="N11" s="164" t="s">
        <v>289</v>
      </c>
      <c r="O11" s="237" t="s">
        <v>1080</v>
      </c>
    </row>
    <row r="12" spans="1:15" ht="60" customHeight="1" x14ac:dyDescent="0.25">
      <c r="A12" s="239">
        <v>10</v>
      </c>
      <c r="B12" s="239" t="s">
        <v>50</v>
      </c>
      <c r="C12" s="240" t="s">
        <v>1063</v>
      </c>
      <c r="D12" s="240" t="s">
        <v>1064</v>
      </c>
      <c r="E12" s="240" t="s">
        <v>1065</v>
      </c>
      <c r="F12" s="239" t="s">
        <v>1066</v>
      </c>
      <c r="G12" s="241">
        <v>8680</v>
      </c>
      <c r="H12" s="242">
        <v>1589.45</v>
      </c>
      <c r="I12" s="242">
        <f>1487.22+45.05</f>
        <v>1532.27</v>
      </c>
      <c r="J12" s="242">
        <f t="shared" si="1"/>
        <v>3121.7200000000003</v>
      </c>
      <c r="K12" s="242">
        <v>5000</v>
      </c>
      <c r="L12" s="242" t="s">
        <v>1090</v>
      </c>
      <c r="M12" s="246" t="s">
        <v>1084</v>
      </c>
      <c r="N12" s="240" t="s">
        <v>289</v>
      </c>
      <c r="O12" s="243" t="s">
        <v>1080</v>
      </c>
    </row>
    <row r="13" spans="1:15" ht="60" customHeight="1" x14ac:dyDescent="0.25">
      <c r="A13" s="163">
        <v>11</v>
      </c>
      <c r="B13" s="163" t="s">
        <v>1067</v>
      </c>
      <c r="C13" s="164" t="s">
        <v>1068</v>
      </c>
      <c r="D13" s="164" t="s">
        <v>1069</v>
      </c>
      <c r="E13" s="164" t="s">
        <v>859</v>
      </c>
      <c r="F13" s="163" t="s">
        <v>1070</v>
      </c>
      <c r="G13" s="166">
        <v>2140</v>
      </c>
      <c r="H13" s="234">
        <v>326.85000000000002</v>
      </c>
      <c r="I13" s="234">
        <f>1785.3+45.05</f>
        <v>1830.35</v>
      </c>
      <c r="J13" s="234">
        <f t="shared" si="1"/>
        <v>2140</v>
      </c>
      <c r="K13" s="194">
        <v>1</v>
      </c>
      <c r="L13" s="194" t="s">
        <v>1091</v>
      </c>
      <c r="M13" s="105" t="s">
        <v>120</v>
      </c>
      <c r="N13" s="164" t="s">
        <v>289</v>
      </c>
      <c r="O13" s="237" t="s">
        <v>1080</v>
      </c>
    </row>
    <row r="14" spans="1:15" x14ac:dyDescent="0.25">
      <c r="A14" s="163"/>
      <c r="B14" s="163"/>
      <c r="C14" s="164"/>
      <c r="D14" s="164"/>
      <c r="E14" s="164"/>
      <c r="F14" s="164"/>
      <c r="G14" s="166"/>
      <c r="H14" s="234"/>
      <c r="I14" s="234"/>
      <c r="J14" s="234"/>
      <c r="K14" s="234"/>
      <c r="L14" s="156"/>
      <c r="M14" s="179"/>
      <c r="N14" s="163"/>
      <c r="O14" s="244"/>
    </row>
    <row r="15" spans="1:15" ht="15.75" x14ac:dyDescent="0.25">
      <c r="A15" s="163"/>
      <c r="B15" s="220" t="s">
        <v>1016</v>
      </c>
      <c r="C15" s="360" t="s">
        <v>645</v>
      </c>
      <c r="D15" s="360"/>
      <c r="E15" s="245" t="s">
        <v>1017</v>
      </c>
      <c r="F15" s="245"/>
      <c r="G15" s="245"/>
      <c r="H15" s="245"/>
      <c r="I15" s="245"/>
      <c r="J15" s="245"/>
      <c r="K15" s="245"/>
      <c r="L15" s="247"/>
      <c r="M15" s="239"/>
      <c r="N15" s="163"/>
      <c r="O15" s="222"/>
    </row>
  </sheetData>
  <mergeCells count="3">
    <mergeCell ref="A1:M1"/>
    <mergeCell ref="K10:M10"/>
    <mergeCell ref="C15:D15"/>
  </mergeCells>
  <pageMargins left="0.7" right="0.7" top="0.75" bottom="0.75" header="0.3" footer="0.3"/>
  <pageSetup scale="4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ACD0-E020-431D-A8D9-E05AB86FCB50}">
  <dimension ref="A1:O8"/>
  <sheetViews>
    <sheetView zoomScale="75" zoomScaleNormal="75" workbookViewId="0">
      <selection activeCell="M6" sqref="M6"/>
    </sheetView>
  </sheetViews>
  <sheetFormatPr defaultRowHeight="29.25" customHeight="1" x14ac:dyDescent="0.25"/>
  <cols>
    <col min="1" max="1" width="3.85546875" bestFit="1" customWidth="1"/>
    <col min="2" max="2" width="20.5703125" bestFit="1" customWidth="1"/>
    <col min="3" max="3" width="12.42578125" customWidth="1"/>
    <col min="4" max="4" width="25.140625" customWidth="1"/>
    <col min="5" max="5" width="25" customWidth="1"/>
    <col min="6" max="6" width="15.5703125" bestFit="1" customWidth="1"/>
    <col min="7" max="7" width="11.28515625" customWidth="1"/>
    <col min="8" max="8" width="12.5703125" customWidth="1"/>
    <col min="9" max="9" width="11.28515625" customWidth="1"/>
    <col min="10" max="10" width="12.28515625" customWidth="1"/>
    <col min="11" max="11" width="11.28515625" customWidth="1"/>
    <col min="12" max="12" width="16.42578125" customWidth="1"/>
    <col min="13" max="13" width="11.28515625" customWidth="1"/>
    <col min="14" max="14" width="43.7109375" customWidth="1"/>
    <col min="15" max="15" width="17.28515625" customWidth="1"/>
  </cols>
  <sheetData>
    <row r="1" spans="1:15" ht="29.25" customHeight="1" x14ac:dyDescent="0.25">
      <c r="A1" s="350" t="s">
        <v>1092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191" t="s">
        <v>824</v>
      </c>
      <c r="O1" s="192">
        <v>44498</v>
      </c>
    </row>
    <row r="2" spans="1:15" ht="63" customHeight="1" x14ac:dyDescent="0.25">
      <c r="A2" s="157" t="s">
        <v>554</v>
      </c>
      <c r="B2" s="249" t="s">
        <v>3</v>
      </c>
      <c r="C2" s="157" t="s">
        <v>4</v>
      </c>
      <c r="D2" s="157" t="s">
        <v>5</v>
      </c>
      <c r="E2" s="157" t="s">
        <v>666</v>
      </c>
      <c r="F2" s="157" t="s">
        <v>6</v>
      </c>
      <c r="G2" s="251" t="s">
        <v>7</v>
      </c>
      <c r="H2" s="235" t="s">
        <v>1093</v>
      </c>
      <c r="I2" s="236" t="s">
        <v>631</v>
      </c>
      <c r="J2" s="235" t="s">
        <v>632</v>
      </c>
      <c r="K2" s="162" t="s">
        <v>11</v>
      </c>
      <c r="L2" s="157" t="s">
        <v>12</v>
      </c>
      <c r="M2" s="157" t="s">
        <v>13</v>
      </c>
      <c r="N2" s="157" t="s">
        <v>14</v>
      </c>
      <c r="O2" s="157" t="s">
        <v>15</v>
      </c>
    </row>
    <row r="3" spans="1:15" ht="63" customHeight="1" x14ac:dyDescent="0.25">
      <c r="A3" s="163">
        <v>1</v>
      </c>
      <c r="B3" s="163" t="s">
        <v>1018</v>
      </c>
      <c r="C3" s="164" t="s">
        <v>1019</v>
      </c>
      <c r="D3" s="164" t="s">
        <v>1020</v>
      </c>
      <c r="E3" s="164" t="s">
        <v>1021</v>
      </c>
      <c r="F3" s="163" t="s">
        <v>1022</v>
      </c>
      <c r="G3" s="166">
        <v>5000</v>
      </c>
      <c r="H3" s="250">
        <f>2270.78</f>
        <v>2270.7800000000002</v>
      </c>
      <c r="I3" s="250">
        <f>1032.8+130.87</f>
        <v>1163.67</v>
      </c>
      <c r="J3" s="250">
        <f>MIN(H3+I3,G3)</f>
        <v>3434.4500000000003</v>
      </c>
      <c r="K3" s="361" t="s">
        <v>1112</v>
      </c>
      <c r="L3" s="362"/>
      <c r="M3" s="363"/>
      <c r="N3" s="164" t="s">
        <v>1082</v>
      </c>
      <c r="O3" s="237" t="s">
        <v>1094</v>
      </c>
    </row>
    <row r="4" spans="1:15" ht="63" customHeight="1" x14ac:dyDescent="0.25">
      <c r="A4" s="163">
        <v>2</v>
      </c>
      <c r="B4" s="163" t="s">
        <v>926</v>
      </c>
      <c r="C4" s="164" t="s">
        <v>927</v>
      </c>
      <c r="D4" s="164" t="s">
        <v>928</v>
      </c>
      <c r="E4" s="169" t="s">
        <v>929</v>
      </c>
      <c r="F4" s="163" t="s">
        <v>930</v>
      </c>
      <c r="G4" s="166">
        <v>2390</v>
      </c>
      <c r="H4" s="250">
        <v>300.22000000000003</v>
      </c>
      <c r="I4" s="250">
        <f>1041.56+225.08</f>
        <v>1266.6399999999999</v>
      </c>
      <c r="J4" s="250">
        <f>MIN(H4+I4,G4)</f>
        <v>1566.86</v>
      </c>
      <c r="K4" s="361" t="s">
        <v>1112</v>
      </c>
      <c r="L4" s="362"/>
      <c r="M4" s="363"/>
      <c r="N4" s="164" t="s">
        <v>1095</v>
      </c>
      <c r="O4" s="237" t="s">
        <v>1094</v>
      </c>
    </row>
    <row r="5" spans="1:15" ht="63" customHeight="1" x14ac:dyDescent="0.25">
      <c r="A5" s="163">
        <v>3</v>
      </c>
      <c r="B5" s="163" t="s">
        <v>1096</v>
      </c>
      <c r="C5" s="164" t="s">
        <v>1097</v>
      </c>
      <c r="D5" s="164" t="s">
        <v>1098</v>
      </c>
      <c r="E5" s="164" t="s">
        <v>1099</v>
      </c>
      <c r="F5" s="163" t="s">
        <v>1100</v>
      </c>
      <c r="G5" s="166">
        <v>7250</v>
      </c>
      <c r="H5" s="190">
        <v>725.6</v>
      </c>
      <c r="I5" s="250">
        <f>2149+97.66</f>
        <v>2246.66</v>
      </c>
      <c r="J5" s="250">
        <f>MIN(H5+I5,G5)</f>
        <v>2972.2599999999998</v>
      </c>
      <c r="K5" s="361" t="s">
        <v>1112</v>
      </c>
      <c r="L5" s="362"/>
      <c r="M5" s="363"/>
      <c r="N5" s="164" t="s">
        <v>289</v>
      </c>
      <c r="O5" s="237" t="s">
        <v>1094</v>
      </c>
    </row>
    <row r="6" spans="1:15" ht="63" customHeight="1" x14ac:dyDescent="0.25">
      <c r="A6" s="163">
        <v>4</v>
      </c>
      <c r="B6" s="163" t="s">
        <v>1101</v>
      </c>
      <c r="C6" s="164" t="s">
        <v>1102</v>
      </c>
      <c r="D6" s="164" t="s">
        <v>1103</v>
      </c>
      <c r="E6" s="164" t="s">
        <v>1104</v>
      </c>
      <c r="F6" s="163" t="s">
        <v>1105</v>
      </c>
      <c r="G6" s="166">
        <v>970</v>
      </c>
      <c r="H6" s="250">
        <v>215.27</v>
      </c>
      <c r="I6" s="250" t="s">
        <v>1106</v>
      </c>
      <c r="J6" s="250" t="s">
        <v>1106</v>
      </c>
      <c r="K6" s="105" t="s">
        <v>120</v>
      </c>
      <c r="L6" s="105" t="s">
        <v>120</v>
      </c>
      <c r="M6" s="105" t="s">
        <v>120</v>
      </c>
      <c r="N6" s="164" t="s">
        <v>994</v>
      </c>
      <c r="O6" s="237" t="s">
        <v>1106</v>
      </c>
    </row>
    <row r="7" spans="1:15" ht="63" customHeight="1" x14ac:dyDescent="0.25">
      <c r="A7" s="163">
        <v>5</v>
      </c>
      <c r="B7" s="163" t="s">
        <v>1107</v>
      </c>
      <c r="C7" s="164" t="s">
        <v>1108</v>
      </c>
      <c r="D7" s="164" t="s">
        <v>1109</v>
      </c>
      <c r="E7" s="164" t="s">
        <v>1110</v>
      </c>
      <c r="F7" s="163" t="s">
        <v>1111</v>
      </c>
      <c r="G7" s="166">
        <v>20440</v>
      </c>
      <c r="H7" s="250">
        <v>1670.9</v>
      </c>
      <c r="I7" s="250" t="s">
        <v>1106</v>
      </c>
      <c r="J7" s="250" t="s">
        <v>1106</v>
      </c>
      <c r="K7" s="105" t="s">
        <v>120</v>
      </c>
      <c r="L7" s="105" t="s">
        <v>120</v>
      </c>
      <c r="M7" s="105" t="s">
        <v>120</v>
      </c>
      <c r="N7" s="164" t="s">
        <v>994</v>
      </c>
      <c r="O7" s="237" t="s">
        <v>1106</v>
      </c>
    </row>
    <row r="8" spans="1:15" ht="15.75" x14ac:dyDescent="0.25">
      <c r="A8" s="163"/>
      <c r="B8" s="220" t="s">
        <v>1016</v>
      </c>
      <c r="C8" s="360" t="s">
        <v>645</v>
      </c>
      <c r="D8" s="360"/>
      <c r="E8" s="245" t="s">
        <v>1017</v>
      </c>
      <c r="F8" s="245"/>
      <c r="G8" s="245"/>
      <c r="H8" s="245"/>
      <c r="I8" s="245"/>
      <c r="J8" s="245"/>
      <c r="K8" s="245"/>
      <c r="L8" s="245"/>
      <c r="M8" s="239"/>
      <c r="N8" s="239"/>
      <c r="O8" s="252"/>
    </row>
  </sheetData>
  <mergeCells count="5">
    <mergeCell ref="A1:M1"/>
    <mergeCell ref="C8:D8"/>
    <mergeCell ref="K3:M3"/>
    <mergeCell ref="K4:M4"/>
    <mergeCell ref="K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topLeftCell="A10" workbookViewId="0">
      <selection activeCell="I7" sqref="I7"/>
    </sheetView>
  </sheetViews>
  <sheetFormatPr defaultRowHeight="15" x14ac:dyDescent="0.25"/>
  <cols>
    <col min="1" max="1" width="6.7109375" style="52" bestFit="1" customWidth="1"/>
    <col min="2" max="2" width="15.5703125" style="52" bestFit="1" customWidth="1"/>
    <col min="3" max="3" width="61.5703125" style="52" hidden="1" customWidth="1"/>
    <col min="4" max="4" width="11.5703125" style="57" customWidth="1"/>
    <col min="5" max="5" width="13.7109375" style="57" bestFit="1" customWidth="1"/>
    <col min="6" max="6" width="10.140625" style="52" bestFit="1" customWidth="1"/>
    <col min="7" max="7" width="12.85546875" style="71" bestFit="1" customWidth="1"/>
    <col min="8" max="8" width="9.140625" style="67" bestFit="1" customWidth="1"/>
    <col min="9" max="9" width="8.140625" style="67" bestFit="1" customWidth="1"/>
    <col min="10" max="10" width="11.7109375" style="67" bestFit="1" customWidth="1"/>
    <col min="11" max="11" width="11.140625" style="71" customWidth="1"/>
    <col min="12" max="12" width="14.42578125" style="52" customWidth="1"/>
    <col min="13" max="13" width="15" style="52" customWidth="1"/>
    <col min="14" max="14" width="17.140625" style="52" customWidth="1"/>
    <col min="15" max="15" width="14.5703125" style="52" customWidth="1"/>
    <col min="16" max="16384" width="9.140625" style="52"/>
  </cols>
  <sheetData>
    <row r="1" spans="1:15" x14ac:dyDescent="0.25">
      <c r="A1" s="297" t="s">
        <v>382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1:15" x14ac:dyDescent="0.25">
      <c r="A2" s="64"/>
    </row>
    <row r="3" spans="1:15" ht="30" x14ac:dyDescent="0.25">
      <c r="A3" s="65" t="s">
        <v>383</v>
      </c>
      <c r="B3" s="65" t="s">
        <v>3</v>
      </c>
      <c r="C3" s="65" t="s">
        <v>272</v>
      </c>
      <c r="D3" s="66" t="s">
        <v>4</v>
      </c>
      <c r="E3" s="66" t="s">
        <v>5</v>
      </c>
      <c r="F3" s="66" t="s">
        <v>6</v>
      </c>
      <c r="G3" s="72" t="s">
        <v>7</v>
      </c>
      <c r="H3" s="68" t="s">
        <v>384</v>
      </c>
      <c r="I3" s="69" t="s">
        <v>274</v>
      </c>
      <c r="J3" s="69" t="s">
        <v>385</v>
      </c>
      <c r="K3" s="72" t="s">
        <v>386</v>
      </c>
      <c r="L3" s="66" t="s">
        <v>276</v>
      </c>
      <c r="M3" s="66" t="s">
        <v>387</v>
      </c>
      <c r="N3" s="66" t="s">
        <v>14</v>
      </c>
      <c r="O3" s="66" t="s">
        <v>388</v>
      </c>
    </row>
    <row r="4" spans="1:15" ht="45" x14ac:dyDescent="0.25">
      <c r="A4" s="52">
        <v>1</v>
      </c>
      <c r="B4" s="52" t="s">
        <v>277</v>
      </c>
      <c r="C4" s="52" t="s">
        <v>389</v>
      </c>
      <c r="D4" s="57" t="s">
        <v>279</v>
      </c>
      <c r="E4" s="57" t="s">
        <v>390</v>
      </c>
      <c r="F4" s="52" t="s">
        <v>280</v>
      </c>
      <c r="G4" s="73">
        <v>18950</v>
      </c>
      <c r="H4" s="70">
        <v>3885.48</v>
      </c>
      <c r="I4" s="70">
        <f>1312.9+20.82</f>
        <v>1333.72</v>
      </c>
      <c r="J4" s="70">
        <f>+I4+H4</f>
        <v>5219.2</v>
      </c>
      <c r="K4" s="71" t="s">
        <v>120</v>
      </c>
      <c r="L4" s="52" t="s">
        <v>120</v>
      </c>
      <c r="M4" s="52" t="s">
        <v>120</v>
      </c>
      <c r="N4" s="60" t="s">
        <v>391</v>
      </c>
      <c r="O4" s="52" t="s">
        <v>392</v>
      </c>
    </row>
    <row r="5" spans="1:15" ht="33.75" x14ac:dyDescent="0.25">
      <c r="A5" s="52">
        <v>2</v>
      </c>
      <c r="B5" s="52" t="s">
        <v>393</v>
      </c>
      <c r="D5" s="57" t="s">
        <v>394</v>
      </c>
      <c r="E5" s="57" t="s">
        <v>395</v>
      </c>
      <c r="F5" s="52" t="s">
        <v>396</v>
      </c>
      <c r="G5" s="73">
        <v>2180</v>
      </c>
      <c r="H5" s="70">
        <v>424.8</v>
      </c>
      <c r="I5" s="67">
        <f>357.45+20.82</f>
        <v>378.27</v>
      </c>
      <c r="J5" s="70">
        <v>803.07</v>
      </c>
      <c r="K5" s="71">
        <v>135</v>
      </c>
      <c r="L5" s="57" t="s">
        <v>441</v>
      </c>
      <c r="M5" s="57" t="s">
        <v>442</v>
      </c>
      <c r="N5" s="60" t="s">
        <v>397</v>
      </c>
      <c r="O5" s="52" t="s">
        <v>392</v>
      </c>
    </row>
    <row r="6" spans="1:15" ht="33.75" x14ac:dyDescent="0.25">
      <c r="A6" s="52">
        <v>3</v>
      </c>
      <c r="B6" s="52" t="s">
        <v>398</v>
      </c>
      <c r="D6" s="57" t="s">
        <v>394</v>
      </c>
      <c r="E6" s="57" t="s">
        <v>399</v>
      </c>
      <c r="F6" s="52" t="s">
        <v>396</v>
      </c>
      <c r="G6" s="73">
        <v>39990</v>
      </c>
      <c r="H6" s="70">
        <v>5730.71</v>
      </c>
      <c r="I6" s="67">
        <f>357.45+20.82</f>
        <v>378.27</v>
      </c>
      <c r="J6" s="70">
        <v>6108.98</v>
      </c>
      <c r="K6" s="71">
        <v>1</v>
      </c>
      <c r="L6" s="57" t="s">
        <v>441</v>
      </c>
      <c r="M6" s="52" t="s">
        <v>120</v>
      </c>
      <c r="N6" s="60" t="s">
        <v>397</v>
      </c>
      <c r="O6" s="52" t="s">
        <v>392</v>
      </c>
    </row>
    <row r="7" spans="1:15" ht="45" x14ac:dyDescent="0.25">
      <c r="A7" s="52">
        <v>4</v>
      </c>
      <c r="B7" s="52" t="s">
        <v>284</v>
      </c>
      <c r="D7" s="57" t="s">
        <v>286</v>
      </c>
      <c r="E7" s="57" t="s">
        <v>400</v>
      </c>
      <c r="F7" s="52" t="s">
        <v>287</v>
      </c>
      <c r="G7" s="73">
        <v>12620</v>
      </c>
      <c r="H7" s="70">
        <v>1606.15</v>
      </c>
      <c r="I7" s="67">
        <v>1212</v>
      </c>
      <c r="J7" s="70">
        <v>2818.15</v>
      </c>
      <c r="K7" s="71" t="s">
        <v>120</v>
      </c>
      <c r="L7" s="52" t="s">
        <v>120</v>
      </c>
      <c r="M7" s="52" t="s">
        <v>120</v>
      </c>
      <c r="N7" s="60" t="s">
        <v>401</v>
      </c>
    </row>
    <row r="8" spans="1:15" ht="33.75" x14ac:dyDescent="0.25">
      <c r="A8" s="52">
        <v>5</v>
      </c>
      <c r="B8" s="52" t="s">
        <v>402</v>
      </c>
      <c r="D8" s="57" t="s">
        <v>403</v>
      </c>
      <c r="E8" s="57" t="s">
        <v>404</v>
      </c>
      <c r="F8" s="52" t="s">
        <v>405</v>
      </c>
      <c r="G8" s="73">
        <v>2070</v>
      </c>
      <c r="H8" s="70">
        <v>701.91</v>
      </c>
      <c r="I8" s="67">
        <f>269.82+20.82</f>
        <v>290.64</v>
      </c>
      <c r="J8" s="70">
        <v>992.55</v>
      </c>
      <c r="K8" s="71">
        <v>405</v>
      </c>
      <c r="L8" s="57" t="s">
        <v>443</v>
      </c>
      <c r="M8" s="52" t="s">
        <v>120</v>
      </c>
      <c r="N8" s="60" t="s">
        <v>397</v>
      </c>
      <c r="O8" s="52" t="s">
        <v>392</v>
      </c>
    </row>
    <row r="9" spans="1:15" ht="33.75" x14ac:dyDescent="0.25">
      <c r="A9" s="52">
        <v>6</v>
      </c>
      <c r="B9" s="52" t="s">
        <v>406</v>
      </c>
      <c r="D9" s="57" t="s">
        <v>403</v>
      </c>
      <c r="E9" s="57" t="s">
        <v>404</v>
      </c>
      <c r="F9" s="52" t="s">
        <v>405</v>
      </c>
      <c r="G9" s="73">
        <v>720</v>
      </c>
      <c r="H9" s="70">
        <v>242.81</v>
      </c>
      <c r="I9" s="67">
        <f>269.82+20.82</f>
        <v>290.64</v>
      </c>
      <c r="J9" s="70">
        <v>533.45000000000005</v>
      </c>
      <c r="K9" s="71">
        <v>1</v>
      </c>
      <c r="L9" s="57" t="s">
        <v>443</v>
      </c>
      <c r="M9" s="52" t="s">
        <v>120</v>
      </c>
      <c r="N9" s="60" t="s">
        <v>397</v>
      </c>
      <c r="O9" s="52" t="s">
        <v>392</v>
      </c>
    </row>
    <row r="10" spans="1:15" ht="33.75" x14ac:dyDescent="0.25">
      <c r="A10" s="52">
        <v>7</v>
      </c>
      <c r="B10" s="52" t="s">
        <v>407</v>
      </c>
      <c r="D10" s="57" t="s">
        <v>403</v>
      </c>
      <c r="E10" s="57" t="s">
        <v>404</v>
      </c>
      <c r="F10" s="52" t="s">
        <v>405</v>
      </c>
      <c r="G10" s="73">
        <v>330</v>
      </c>
      <c r="H10" s="70">
        <v>106.25</v>
      </c>
      <c r="I10" s="67">
        <f>269.81+20.82</f>
        <v>290.63</v>
      </c>
      <c r="J10" s="70">
        <v>330</v>
      </c>
      <c r="K10" s="71">
        <v>1</v>
      </c>
      <c r="L10" s="57" t="s">
        <v>443</v>
      </c>
      <c r="M10" s="52" t="s">
        <v>120</v>
      </c>
      <c r="N10" s="60" t="s">
        <v>397</v>
      </c>
      <c r="O10" s="52" t="s">
        <v>392</v>
      </c>
    </row>
    <row r="11" spans="1:15" ht="33.75" x14ac:dyDescent="0.25">
      <c r="A11" s="52">
        <v>8</v>
      </c>
      <c r="B11" s="52" t="s">
        <v>408</v>
      </c>
      <c r="D11" s="57" t="s">
        <v>409</v>
      </c>
      <c r="E11" s="57" t="s">
        <v>410</v>
      </c>
      <c r="F11" s="52" t="s">
        <v>411</v>
      </c>
      <c r="G11" s="73">
        <v>11010</v>
      </c>
      <c r="H11" s="70">
        <v>2582.34</v>
      </c>
      <c r="I11" s="67">
        <f>1340.9+20.82</f>
        <v>1361.72</v>
      </c>
      <c r="J11" s="70">
        <v>3944.06</v>
      </c>
      <c r="K11" s="71">
        <v>8000</v>
      </c>
      <c r="L11" s="57" t="s">
        <v>444</v>
      </c>
      <c r="M11" s="57" t="s">
        <v>447</v>
      </c>
      <c r="N11" s="60" t="s">
        <v>397</v>
      </c>
      <c r="O11" s="52" t="s">
        <v>392</v>
      </c>
    </row>
    <row r="12" spans="1:15" ht="33.75" x14ac:dyDescent="0.25">
      <c r="A12" s="52">
        <v>9</v>
      </c>
      <c r="B12" s="52" t="s">
        <v>412</v>
      </c>
      <c r="D12" s="57" t="s">
        <v>413</v>
      </c>
      <c r="E12" s="57" t="s">
        <v>414</v>
      </c>
      <c r="F12" s="52" t="s">
        <v>415</v>
      </c>
      <c r="G12" s="73">
        <v>9120</v>
      </c>
      <c r="H12" s="70">
        <v>10428.290000000001</v>
      </c>
      <c r="I12" s="67">
        <f>1005.85+20.9</f>
        <v>1026.75</v>
      </c>
      <c r="J12" s="70">
        <v>9120</v>
      </c>
      <c r="K12" s="71">
        <v>6100</v>
      </c>
      <c r="L12" s="57" t="s">
        <v>445</v>
      </c>
      <c r="M12" s="52" t="s">
        <v>120</v>
      </c>
      <c r="N12" s="60" t="s">
        <v>397</v>
      </c>
      <c r="O12" s="52" t="s">
        <v>392</v>
      </c>
    </row>
    <row r="13" spans="1:15" ht="33.75" x14ac:dyDescent="0.25">
      <c r="A13" s="52">
        <v>10</v>
      </c>
      <c r="B13" s="52" t="s">
        <v>416</v>
      </c>
      <c r="D13" s="57" t="s">
        <v>417</v>
      </c>
      <c r="E13" s="57" t="s">
        <v>418</v>
      </c>
      <c r="F13" s="52" t="s">
        <v>419</v>
      </c>
      <c r="G13" s="73">
        <v>6360</v>
      </c>
      <c r="H13" s="70">
        <v>2808.39</v>
      </c>
      <c r="I13" s="67">
        <f>1246.25+20.82</f>
        <v>1267.07</v>
      </c>
      <c r="J13" s="70">
        <v>4075.46</v>
      </c>
      <c r="K13" s="71">
        <v>100</v>
      </c>
      <c r="L13" s="57" t="s">
        <v>446</v>
      </c>
      <c r="M13" s="52" t="s">
        <v>120</v>
      </c>
      <c r="N13" s="60" t="s">
        <v>397</v>
      </c>
      <c r="O13" s="52" t="s">
        <v>392</v>
      </c>
    </row>
    <row r="14" spans="1:15" ht="33.75" x14ac:dyDescent="0.25">
      <c r="A14" s="52">
        <v>11</v>
      </c>
      <c r="B14" s="52" t="s">
        <v>298</v>
      </c>
      <c r="D14" s="57" t="s">
        <v>420</v>
      </c>
      <c r="E14" s="57" t="s">
        <v>421</v>
      </c>
      <c r="F14" s="52" t="s">
        <v>301</v>
      </c>
      <c r="G14" s="73">
        <v>1330</v>
      </c>
      <c r="H14" s="70">
        <v>2959.13</v>
      </c>
      <c r="I14" s="67">
        <f>1277.5+20.82</f>
        <v>1298.32</v>
      </c>
      <c r="J14" s="70">
        <v>1330</v>
      </c>
      <c r="K14" s="71">
        <v>1</v>
      </c>
      <c r="L14" s="57" t="s">
        <v>448</v>
      </c>
      <c r="M14" s="52" t="s">
        <v>120</v>
      </c>
      <c r="N14" s="60" t="s">
        <v>397</v>
      </c>
      <c r="O14" s="52" t="s">
        <v>392</v>
      </c>
    </row>
    <row r="15" spans="1:15" ht="33.75" x14ac:dyDescent="0.25">
      <c r="A15" s="52">
        <v>12</v>
      </c>
      <c r="B15" s="52" t="s">
        <v>422</v>
      </c>
      <c r="D15" s="57" t="s">
        <v>423</v>
      </c>
      <c r="E15" s="57" t="s">
        <v>424</v>
      </c>
      <c r="F15" s="52" t="s">
        <v>425</v>
      </c>
      <c r="G15" s="73">
        <v>26190</v>
      </c>
      <c r="H15" s="70">
        <v>5506.68</v>
      </c>
      <c r="I15" s="67">
        <f>1280.85+20.82</f>
        <v>1301.6699999999998</v>
      </c>
      <c r="J15" s="70">
        <v>6808.35</v>
      </c>
      <c r="K15" s="71">
        <v>50</v>
      </c>
      <c r="L15" s="57" t="s">
        <v>449</v>
      </c>
      <c r="M15" s="52" t="s">
        <v>453</v>
      </c>
      <c r="N15" s="60" t="s">
        <v>397</v>
      </c>
      <c r="O15" s="52" t="s">
        <v>392</v>
      </c>
    </row>
    <row r="16" spans="1:15" ht="33.75" x14ac:dyDescent="0.25">
      <c r="A16" s="52">
        <v>13</v>
      </c>
      <c r="B16" s="52" t="s">
        <v>291</v>
      </c>
      <c r="D16" s="57" t="s">
        <v>293</v>
      </c>
      <c r="E16" s="57" t="s">
        <v>292</v>
      </c>
      <c r="F16" s="52" t="s">
        <v>294</v>
      </c>
      <c r="G16" s="73">
        <v>34700</v>
      </c>
      <c r="H16" s="70">
        <v>3796.26</v>
      </c>
      <c r="I16" s="67">
        <f>1277.95+20.82</f>
        <v>1298.77</v>
      </c>
      <c r="J16" s="70">
        <v>5095.03</v>
      </c>
      <c r="K16" s="52" t="s">
        <v>120</v>
      </c>
      <c r="L16" s="52" t="s">
        <v>120</v>
      </c>
      <c r="M16" s="52" t="s">
        <v>120</v>
      </c>
      <c r="N16" s="60" t="s">
        <v>397</v>
      </c>
      <c r="O16" s="52" t="s">
        <v>392</v>
      </c>
    </row>
    <row r="17" spans="1:15" ht="33.75" x14ac:dyDescent="0.25">
      <c r="A17" s="52">
        <v>14</v>
      </c>
      <c r="B17" s="52" t="s">
        <v>426</v>
      </c>
      <c r="D17" s="57" t="s">
        <v>427</v>
      </c>
      <c r="E17" s="57" t="s">
        <v>428</v>
      </c>
      <c r="F17" s="52" t="s">
        <v>429</v>
      </c>
      <c r="G17" s="73">
        <v>9050</v>
      </c>
      <c r="H17" s="70">
        <v>1382.99</v>
      </c>
      <c r="I17" s="67">
        <f>1343.35+20.82</f>
        <v>1364.1699999999998</v>
      </c>
      <c r="J17" s="70">
        <v>2747.16</v>
      </c>
      <c r="K17" s="71">
        <v>450</v>
      </c>
      <c r="L17" s="57" t="s">
        <v>450</v>
      </c>
      <c r="M17" s="57" t="s">
        <v>452</v>
      </c>
      <c r="N17" s="60" t="s">
        <v>397</v>
      </c>
      <c r="O17" s="52" t="s">
        <v>392</v>
      </c>
    </row>
    <row r="18" spans="1:15" ht="33.75" x14ac:dyDescent="0.25">
      <c r="A18" s="52">
        <v>15</v>
      </c>
      <c r="B18" s="52" t="s">
        <v>430</v>
      </c>
      <c r="D18" s="57" t="s">
        <v>431</v>
      </c>
      <c r="E18" s="57" t="s">
        <v>432</v>
      </c>
      <c r="F18" s="52" t="s">
        <v>433</v>
      </c>
      <c r="G18" s="73">
        <v>31530</v>
      </c>
      <c r="H18" s="70">
        <v>6781.47</v>
      </c>
      <c r="I18" s="67">
        <f>1536.55+20.82</f>
        <v>1557.37</v>
      </c>
      <c r="J18" s="70">
        <v>8338.84</v>
      </c>
      <c r="K18" s="71">
        <v>1</v>
      </c>
      <c r="L18" s="57" t="s">
        <v>451</v>
      </c>
      <c r="M18" s="52" t="s">
        <v>120</v>
      </c>
      <c r="N18" s="60" t="s">
        <v>397</v>
      </c>
      <c r="O18" s="52" t="s">
        <v>392</v>
      </c>
    </row>
  </sheetData>
  <mergeCells count="1">
    <mergeCell ref="A1:O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0B1A-1809-4FDF-A708-702A849D3BA0}">
  <dimension ref="A1:R190"/>
  <sheetViews>
    <sheetView zoomScale="75" zoomScaleNormal="75" workbookViewId="0">
      <selection activeCell="K7" sqref="K7:M7"/>
    </sheetView>
  </sheetViews>
  <sheetFormatPr defaultColWidth="13.42578125" defaultRowHeight="15" x14ac:dyDescent="0.25"/>
  <cols>
    <col min="1" max="1" width="4" style="255" bestFit="1" customWidth="1"/>
    <col min="2" max="2" width="20.5703125" style="255" bestFit="1" customWidth="1"/>
    <col min="3" max="3" width="37.5703125" style="276" customWidth="1"/>
    <col min="4" max="4" width="24.7109375" style="276" bestFit="1" customWidth="1"/>
    <col min="5" max="5" width="20.42578125" style="276" bestFit="1" customWidth="1"/>
    <col min="6" max="6" width="12.140625" style="255" bestFit="1" customWidth="1"/>
    <col min="7" max="7" width="11.7109375" style="277" customWidth="1"/>
    <col min="8" max="8" width="12.85546875" style="266" bestFit="1" customWidth="1"/>
    <col min="9" max="9" width="12.140625" style="266" bestFit="1" customWidth="1"/>
    <col min="10" max="10" width="12.5703125" style="266" bestFit="1" customWidth="1"/>
    <col min="11" max="11" width="16.5703125" style="278" customWidth="1"/>
    <col min="12" max="12" width="30.5703125" style="255" customWidth="1"/>
    <col min="13" max="13" width="12" style="276" bestFit="1" customWidth="1"/>
    <col min="14" max="14" width="35" style="255" bestFit="1" customWidth="1"/>
    <col min="15" max="15" width="15.140625" style="255" bestFit="1" customWidth="1"/>
    <col min="16" max="16" width="13.42578125" style="255"/>
    <col min="17" max="17" width="59.5703125" style="255" customWidth="1"/>
    <col min="18" max="16384" width="13.42578125" style="255"/>
  </cols>
  <sheetData>
    <row r="1" spans="1:18" ht="20.25" x14ac:dyDescent="0.25">
      <c r="A1" s="364" t="s">
        <v>1113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253" t="s">
        <v>824</v>
      </c>
      <c r="O1" s="254">
        <v>44708</v>
      </c>
    </row>
    <row r="2" spans="1:18" ht="56.25" customHeight="1" x14ac:dyDescent="0.25">
      <c r="A2" s="256" t="s">
        <v>554</v>
      </c>
      <c r="B2" s="257" t="s">
        <v>3</v>
      </c>
      <c r="C2" s="256" t="s">
        <v>4</v>
      </c>
      <c r="D2" s="256" t="s">
        <v>5</v>
      </c>
      <c r="E2" s="256" t="s">
        <v>666</v>
      </c>
      <c r="F2" s="256" t="s">
        <v>1114</v>
      </c>
      <c r="G2" s="251" t="s">
        <v>7</v>
      </c>
      <c r="H2" s="235" t="s">
        <v>1115</v>
      </c>
      <c r="I2" s="236" t="s">
        <v>631</v>
      </c>
      <c r="J2" s="235" t="s">
        <v>632</v>
      </c>
      <c r="K2" s="258" t="s">
        <v>11</v>
      </c>
      <c r="L2" s="256" t="s">
        <v>12</v>
      </c>
      <c r="M2" s="256" t="s">
        <v>13</v>
      </c>
      <c r="N2" s="256" t="s">
        <v>14</v>
      </c>
      <c r="O2" s="256" t="s">
        <v>15</v>
      </c>
    </row>
    <row r="3" spans="1:18" ht="60" customHeight="1" x14ac:dyDescent="0.25">
      <c r="A3" s="259">
        <v>1</v>
      </c>
      <c r="B3" s="259" t="s">
        <v>926</v>
      </c>
      <c r="C3" s="260" t="s">
        <v>927</v>
      </c>
      <c r="D3" s="260" t="s">
        <v>928</v>
      </c>
      <c r="E3" s="261" t="s">
        <v>929</v>
      </c>
      <c r="F3" s="259" t="s">
        <v>1116</v>
      </c>
      <c r="G3" s="262">
        <v>2390</v>
      </c>
      <c r="H3" s="263">
        <v>337.15</v>
      </c>
      <c r="I3" s="263" t="s">
        <v>1012</v>
      </c>
      <c r="J3" s="263" t="s">
        <v>1012</v>
      </c>
      <c r="K3" s="365" t="s">
        <v>1117</v>
      </c>
      <c r="L3" s="366"/>
      <c r="M3" s="367"/>
      <c r="N3" s="260" t="s">
        <v>1118</v>
      </c>
      <c r="O3" s="264" t="s">
        <v>1012</v>
      </c>
      <c r="Q3" s="265"/>
      <c r="R3" s="266"/>
    </row>
    <row r="4" spans="1:18" ht="60" customHeight="1" x14ac:dyDescent="0.25">
      <c r="A4" s="267">
        <v>2</v>
      </c>
      <c r="B4" s="267" t="s">
        <v>1018</v>
      </c>
      <c r="C4" s="268" t="s">
        <v>1019</v>
      </c>
      <c r="D4" s="268" t="s">
        <v>1020</v>
      </c>
      <c r="E4" s="268" t="s">
        <v>1021</v>
      </c>
      <c r="F4" s="267" t="s">
        <v>1022</v>
      </c>
      <c r="G4" s="269">
        <v>5000</v>
      </c>
      <c r="H4" s="270">
        <f>2270.78+122.01</f>
        <v>2392.7900000000004</v>
      </c>
      <c r="I4" s="270">
        <f>1032.8+170.43</f>
        <v>1203.23</v>
      </c>
      <c r="J4" s="270">
        <f t="shared" ref="J4:J12" si="0">MIN(H4+I4,G4)</f>
        <v>3596.0200000000004</v>
      </c>
      <c r="K4" s="361" t="s">
        <v>1112</v>
      </c>
      <c r="L4" s="362"/>
      <c r="M4" s="363"/>
      <c r="N4" s="268" t="s">
        <v>1119</v>
      </c>
      <c r="O4" s="272" t="s">
        <v>1120</v>
      </c>
      <c r="Q4" s="265"/>
      <c r="R4" s="266"/>
    </row>
    <row r="5" spans="1:18" ht="60" customHeight="1" x14ac:dyDescent="0.25">
      <c r="A5" s="267">
        <v>3</v>
      </c>
      <c r="B5" s="267" t="s">
        <v>1096</v>
      </c>
      <c r="C5" s="268" t="s">
        <v>1097</v>
      </c>
      <c r="D5" s="268" t="s">
        <v>1098</v>
      </c>
      <c r="E5" s="268" t="s">
        <v>1099</v>
      </c>
      <c r="F5" s="267" t="s">
        <v>1100</v>
      </c>
      <c r="G5" s="269">
        <v>7250</v>
      </c>
      <c r="H5" s="273">
        <v>841.28</v>
      </c>
      <c r="I5" s="270">
        <f>2149+137.22</f>
        <v>2286.2199999999998</v>
      </c>
      <c r="J5" s="270">
        <f>MIN(H5+I5,G5)</f>
        <v>3127.5</v>
      </c>
      <c r="K5" s="270">
        <v>1</v>
      </c>
      <c r="L5" s="271" t="s">
        <v>1151</v>
      </c>
      <c r="M5" s="105" t="s">
        <v>120</v>
      </c>
      <c r="N5" s="268" t="s">
        <v>1121</v>
      </c>
      <c r="O5" s="272" t="s">
        <v>1120</v>
      </c>
      <c r="Q5" s="265"/>
      <c r="R5" s="266"/>
    </row>
    <row r="6" spans="1:18" ht="60" customHeight="1" x14ac:dyDescent="0.25">
      <c r="A6" s="267">
        <v>4</v>
      </c>
      <c r="B6" s="267" t="s">
        <v>1101</v>
      </c>
      <c r="C6" s="268" t="s">
        <v>1102</v>
      </c>
      <c r="D6" s="268" t="s">
        <v>1103</v>
      </c>
      <c r="E6" s="268" t="s">
        <v>1104</v>
      </c>
      <c r="F6" s="267" t="s">
        <v>1122</v>
      </c>
      <c r="G6" s="269">
        <v>970</v>
      </c>
      <c r="H6" s="270">
        <v>231.11</v>
      </c>
      <c r="I6" s="270">
        <f>1088.91+39.56</f>
        <v>1128.47</v>
      </c>
      <c r="J6" s="270">
        <f t="shared" si="0"/>
        <v>970</v>
      </c>
      <c r="K6" s="361" t="s">
        <v>1112</v>
      </c>
      <c r="L6" s="362"/>
      <c r="M6" s="363"/>
      <c r="N6" s="268" t="s">
        <v>289</v>
      </c>
      <c r="O6" s="272" t="s">
        <v>1120</v>
      </c>
      <c r="Q6" s="265"/>
      <c r="R6" s="266"/>
    </row>
    <row r="7" spans="1:18" ht="60" customHeight="1" x14ac:dyDescent="0.25">
      <c r="A7" s="259">
        <v>5</v>
      </c>
      <c r="B7" s="259" t="s">
        <v>1107</v>
      </c>
      <c r="C7" s="260" t="s">
        <v>1108</v>
      </c>
      <c r="D7" s="260" t="s">
        <v>1123</v>
      </c>
      <c r="E7" s="260" t="s">
        <v>1110</v>
      </c>
      <c r="F7" s="259" t="s">
        <v>1124</v>
      </c>
      <c r="G7" s="262">
        <v>20440</v>
      </c>
      <c r="H7" s="263">
        <v>2517.92</v>
      </c>
      <c r="I7" s="263">
        <f>1109.73+39.56</f>
        <v>1149.29</v>
      </c>
      <c r="J7" s="263">
        <f t="shared" si="0"/>
        <v>3667.21</v>
      </c>
      <c r="K7" s="365" t="s">
        <v>1125</v>
      </c>
      <c r="L7" s="366"/>
      <c r="M7" s="367"/>
      <c r="N7" s="260" t="s">
        <v>289</v>
      </c>
      <c r="O7" s="264" t="s">
        <v>1120</v>
      </c>
      <c r="Q7" s="265"/>
      <c r="R7" s="266"/>
    </row>
    <row r="8" spans="1:18" ht="60" customHeight="1" x14ac:dyDescent="0.25">
      <c r="A8" s="267">
        <v>6</v>
      </c>
      <c r="B8" s="267" t="s">
        <v>1126</v>
      </c>
      <c r="C8" s="268" t="s">
        <v>1127</v>
      </c>
      <c r="D8" s="268" t="s">
        <v>1128</v>
      </c>
      <c r="E8" s="274" t="s">
        <v>1129</v>
      </c>
      <c r="F8" s="267" t="s">
        <v>1130</v>
      </c>
      <c r="G8" s="269">
        <v>15180</v>
      </c>
      <c r="H8" s="270">
        <v>1334.21</v>
      </c>
      <c r="I8" s="270">
        <f>1451.55+39.56</f>
        <v>1491.11</v>
      </c>
      <c r="J8" s="270">
        <f t="shared" si="0"/>
        <v>2825.3199999999997</v>
      </c>
      <c r="K8" s="270">
        <v>1</v>
      </c>
      <c r="L8" s="271" t="s">
        <v>1154</v>
      </c>
      <c r="M8" s="105" t="s">
        <v>120</v>
      </c>
      <c r="N8" s="268" t="s">
        <v>289</v>
      </c>
      <c r="O8" s="272" t="s">
        <v>1120</v>
      </c>
      <c r="Q8" s="265"/>
      <c r="R8" s="266"/>
    </row>
    <row r="9" spans="1:18" ht="60" customHeight="1" x14ac:dyDescent="0.25">
      <c r="A9" s="267">
        <v>7</v>
      </c>
      <c r="B9" s="267" t="s">
        <v>1131</v>
      </c>
      <c r="C9" s="268" t="s">
        <v>1132</v>
      </c>
      <c r="D9" s="268" t="s">
        <v>1133</v>
      </c>
      <c r="E9" s="268" t="s">
        <v>1134</v>
      </c>
      <c r="F9" s="267" t="s">
        <v>1135</v>
      </c>
      <c r="G9" s="269">
        <v>3000</v>
      </c>
      <c r="H9" s="273">
        <v>309.14</v>
      </c>
      <c r="I9" s="270">
        <f>1500.12+39.55</f>
        <v>1539.6699999999998</v>
      </c>
      <c r="J9" s="270">
        <f t="shared" si="0"/>
        <v>1848.81</v>
      </c>
      <c r="K9" s="361" t="s">
        <v>1112</v>
      </c>
      <c r="L9" s="362"/>
      <c r="M9" s="363"/>
      <c r="N9" s="268" t="s">
        <v>289</v>
      </c>
      <c r="O9" s="272" t="s">
        <v>1120</v>
      </c>
      <c r="Q9" s="265"/>
      <c r="R9" s="266"/>
    </row>
    <row r="10" spans="1:18" ht="60" customHeight="1" x14ac:dyDescent="0.25">
      <c r="A10" s="267">
        <v>8</v>
      </c>
      <c r="B10" s="267" t="s">
        <v>1136</v>
      </c>
      <c r="C10" s="268" t="s">
        <v>1137</v>
      </c>
      <c r="D10" s="268" t="s">
        <v>1138</v>
      </c>
      <c r="E10" s="268" t="s">
        <v>1139</v>
      </c>
      <c r="F10" s="267" t="s">
        <v>1140</v>
      </c>
      <c r="G10" s="269">
        <v>2310</v>
      </c>
      <c r="H10" s="270">
        <v>372.38</v>
      </c>
      <c r="I10" s="270">
        <f>2703.98+39.55</f>
        <v>2743.53</v>
      </c>
      <c r="J10" s="270">
        <f t="shared" si="0"/>
        <v>2310</v>
      </c>
      <c r="K10" s="270">
        <v>2310</v>
      </c>
      <c r="L10" s="271" t="s">
        <v>1153</v>
      </c>
      <c r="M10" s="105" t="s">
        <v>120</v>
      </c>
      <c r="N10" s="268" t="s">
        <v>289</v>
      </c>
      <c r="O10" s="272" t="s">
        <v>1120</v>
      </c>
      <c r="Q10" s="266"/>
      <c r="R10" s="266"/>
    </row>
    <row r="11" spans="1:18" ht="60" customHeight="1" x14ac:dyDescent="0.25">
      <c r="A11" s="267">
        <v>9</v>
      </c>
      <c r="B11" s="267" t="s">
        <v>1141</v>
      </c>
      <c r="C11" s="268" t="s">
        <v>1142</v>
      </c>
      <c r="D11" s="268" t="s">
        <v>1143</v>
      </c>
      <c r="E11" s="268" t="s">
        <v>1144</v>
      </c>
      <c r="F11" s="267" t="s">
        <v>1145</v>
      </c>
      <c r="G11" s="269">
        <v>460</v>
      </c>
      <c r="H11" s="270">
        <v>115.18</v>
      </c>
      <c r="I11" s="270">
        <f>1361.98+39.55</f>
        <v>1401.53</v>
      </c>
      <c r="J11" s="270">
        <f t="shared" si="0"/>
        <v>460</v>
      </c>
      <c r="K11" s="361" t="s">
        <v>1112</v>
      </c>
      <c r="L11" s="362"/>
      <c r="M11" s="363"/>
      <c r="N11" s="268" t="s">
        <v>289</v>
      </c>
      <c r="O11" s="272" t="s">
        <v>1120</v>
      </c>
      <c r="Q11" s="266"/>
      <c r="R11" s="266"/>
    </row>
    <row r="12" spans="1:18" ht="60" customHeight="1" x14ac:dyDescent="0.25">
      <c r="A12" s="267">
        <v>10</v>
      </c>
      <c r="B12" s="267" t="s">
        <v>1146</v>
      </c>
      <c r="C12" s="268" t="s">
        <v>1147</v>
      </c>
      <c r="D12" s="268" t="s">
        <v>1148</v>
      </c>
      <c r="E12" s="268" t="s">
        <v>1149</v>
      </c>
      <c r="F12" s="267" t="s">
        <v>1150</v>
      </c>
      <c r="G12" s="269">
        <v>10690</v>
      </c>
      <c r="H12" s="273">
        <v>901.69</v>
      </c>
      <c r="I12" s="270">
        <f>2362+39.55</f>
        <v>2401.5500000000002</v>
      </c>
      <c r="J12" s="270">
        <f t="shared" si="0"/>
        <v>3303.2400000000002</v>
      </c>
      <c r="K12" s="273">
        <v>3303.24</v>
      </c>
      <c r="L12" s="271" t="s">
        <v>1152</v>
      </c>
      <c r="M12" s="105" t="s">
        <v>120</v>
      </c>
      <c r="N12" s="268" t="s">
        <v>289</v>
      </c>
      <c r="O12" s="272" t="s">
        <v>1120</v>
      </c>
      <c r="Q12" s="266"/>
      <c r="R12" s="266"/>
    </row>
    <row r="13" spans="1:18" ht="15.75" x14ac:dyDescent="0.25">
      <c r="A13" s="267"/>
      <c r="B13" s="275" t="s">
        <v>1016</v>
      </c>
      <c r="C13" s="360" t="s">
        <v>645</v>
      </c>
      <c r="D13" s="360"/>
      <c r="E13" s="368" t="s">
        <v>1017</v>
      </c>
      <c r="F13" s="369"/>
      <c r="G13" s="369"/>
      <c r="H13" s="369"/>
      <c r="I13" s="369"/>
      <c r="J13" s="369"/>
      <c r="K13" s="369"/>
      <c r="L13" s="369"/>
      <c r="M13" s="369"/>
      <c r="N13" s="369"/>
      <c r="O13" s="370"/>
    </row>
    <row r="15" spans="1:18" x14ac:dyDescent="0.25">
      <c r="F15" s="156"/>
      <c r="G15" s="180"/>
      <c r="H15" s="181"/>
      <c r="I15" s="181"/>
      <c r="J15" s="181"/>
      <c r="K15" s="182"/>
      <c r="L15" s="156"/>
      <c r="M15" s="179"/>
    </row>
    <row r="16" spans="1:18" ht="56.25" customHeight="1" x14ac:dyDescent="0.25">
      <c r="F16" s="156"/>
      <c r="G16" s="181"/>
      <c r="H16" s="181"/>
      <c r="I16" s="181"/>
      <c r="J16" s="181"/>
      <c r="K16" s="181"/>
      <c r="L16" s="181"/>
      <c r="M16" s="179"/>
    </row>
    <row r="17" spans="3:13" ht="56.25" customHeight="1" x14ac:dyDescent="0.25">
      <c r="F17" s="156"/>
      <c r="G17" s="180"/>
      <c r="H17" s="181"/>
      <c r="I17" s="181"/>
      <c r="J17" s="181"/>
      <c r="K17" s="182"/>
      <c r="L17" s="156"/>
      <c r="M17" s="179"/>
    </row>
    <row r="18" spans="3:13" ht="56.25" customHeight="1" x14ac:dyDescent="0.25">
      <c r="F18" s="156"/>
      <c r="G18" s="180"/>
      <c r="H18" s="181"/>
      <c r="I18" s="181"/>
      <c r="J18" s="181"/>
      <c r="K18" s="182"/>
      <c r="L18" s="156"/>
      <c r="M18" s="179"/>
    </row>
    <row r="31" spans="3:13" ht="56.25" customHeight="1" x14ac:dyDescent="0.25">
      <c r="C31" s="255"/>
      <c r="D31" s="255"/>
      <c r="E31" s="255"/>
      <c r="G31" s="255"/>
      <c r="H31" s="255"/>
      <c r="I31" s="255"/>
      <c r="J31" s="255"/>
    </row>
    <row r="37" spans="3:10" ht="56.25" customHeight="1" x14ac:dyDescent="0.25">
      <c r="C37" s="255"/>
      <c r="D37" s="255"/>
      <c r="E37" s="255"/>
      <c r="G37" s="255"/>
      <c r="H37" s="255"/>
      <c r="I37" s="255"/>
      <c r="J37" s="255"/>
    </row>
    <row r="38" spans="3:10" ht="56.25" customHeight="1" x14ac:dyDescent="0.25">
      <c r="C38" s="255"/>
      <c r="D38" s="255"/>
      <c r="E38" s="255"/>
      <c r="G38" s="255"/>
      <c r="H38" s="255"/>
      <c r="I38" s="255"/>
      <c r="J38" s="255"/>
    </row>
    <row r="39" spans="3:10" ht="56.25" customHeight="1" x14ac:dyDescent="0.25">
      <c r="C39" s="255"/>
      <c r="D39" s="255"/>
      <c r="E39" s="255"/>
      <c r="G39" s="255"/>
      <c r="H39" s="255"/>
      <c r="I39" s="255"/>
      <c r="J39" s="255"/>
    </row>
    <row r="40" spans="3:10" ht="56.25" customHeight="1" x14ac:dyDescent="0.25">
      <c r="C40" s="255"/>
      <c r="D40" s="255"/>
      <c r="E40" s="255"/>
      <c r="G40" s="255"/>
      <c r="H40" s="255"/>
      <c r="I40" s="255"/>
      <c r="J40" s="255"/>
    </row>
    <row r="41" spans="3:10" ht="56.25" customHeight="1" x14ac:dyDescent="0.25">
      <c r="C41" s="255"/>
      <c r="D41" s="255"/>
      <c r="E41" s="255"/>
      <c r="G41" s="255"/>
      <c r="H41" s="255"/>
      <c r="I41" s="255"/>
      <c r="J41" s="255"/>
    </row>
    <row r="42" spans="3:10" ht="56.25" customHeight="1" x14ac:dyDescent="0.25">
      <c r="C42" s="255"/>
      <c r="D42" s="255"/>
      <c r="E42" s="255"/>
      <c r="G42" s="255"/>
      <c r="H42" s="255"/>
      <c r="I42" s="255"/>
      <c r="J42" s="255"/>
    </row>
    <row r="43" spans="3:10" ht="56.25" customHeight="1" x14ac:dyDescent="0.25">
      <c r="C43" s="255"/>
      <c r="D43" s="255"/>
      <c r="E43" s="255"/>
      <c r="G43" s="255"/>
      <c r="H43" s="255"/>
      <c r="I43" s="255"/>
      <c r="J43" s="255"/>
    </row>
    <row r="44" spans="3:10" ht="56.25" customHeight="1" x14ac:dyDescent="0.25">
      <c r="C44" s="255"/>
      <c r="D44" s="255"/>
      <c r="E44" s="255"/>
      <c r="G44" s="255"/>
      <c r="H44" s="255"/>
      <c r="I44" s="255"/>
      <c r="J44" s="255"/>
    </row>
    <row r="45" spans="3:10" ht="56.25" customHeight="1" x14ac:dyDescent="0.25">
      <c r="C45" s="255"/>
      <c r="D45" s="255"/>
      <c r="E45" s="255"/>
      <c r="G45" s="255"/>
      <c r="H45" s="255"/>
      <c r="I45" s="255"/>
      <c r="J45" s="255"/>
    </row>
    <row r="46" spans="3:10" ht="56.25" customHeight="1" x14ac:dyDescent="0.25">
      <c r="C46" s="255"/>
      <c r="D46" s="255"/>
      <c r="E46" s="255"/>
      <c r="G46" s="255"/>
      <c r="H46" s="255"/>
      <c r="I46" s="255"/>
      <c r="J46" s="255"/>
    </row>
    <row r="47" spans="3:10" ht="56.25" customHeight="1" x14ac:dyDescent="0.25">
      <c r="C47" s="255"/>
      <c r="D47" s="255"/>
      <c r="E47" s="255"/>
      <c r="G47" s="255"/>
      <c r="H47" s="255"/>
      <c r="I47" s="255"/>
      <c r="J47" s="255"/>
    </row>
    <row r="48" spans="3:10" ht="56.25" customHeight="1" x14ac:dyDescent="0.25">
      <c r="C48" s="255"/>
      <c r="D48" s="255"/>
      <c r="E48" s="255"/>
      <c r="G48" s="255"/>
      <c r="H48" s="255"/>
      <c r="I48" s="255"/>
      <c r="J48" s="255"/>
    </row>
    <row r="49" spans="3:10" ht="56.25" customHeight="1" x14ac:dyDescent="0.25">
      <c r="C49" s="255"/>
      <c r="D49" s="255"/>
      <c r="E49" s="255"/>
      <c r="G49" s="255"/>
      <c r="H49" s="255"/>
      <c r="I49" s="255"/>
      <c r="J49" s="255"/>
    </row>
    <row r="50" spans="3:10" ht="56.25" customHeight="1" x14ac:dyDescent="0.25">
      <c r="C50" s="255"/>
      <c r="D50" s="255"/>
      <c r="E50" s="255"/>
      <c r="G50" s="255"/>
      <c r="H50" s="255"/>
      <c r="I50" s="255"/>
      <c r="J50" s="255"/>
    </row>
    <row r="51" spans="3:10" ht="56.25" customHeight="1" x14ac:dyDescent="0.25">
      <c r="C51" s="255"/>
      <c r="D51" s="255"/>
      <c r="E51" s="255"/>
      <c r="G51" s="255"/>
      <c r="H51" s="255"/>
      <c r="I51" s="255"/>
      <c r="J51" s="255"/>
    </row>
    <row r="52" spans="3:10" ht="56.25" customHeight="1" x14ac:dyDescent="0.25">
      <c r="C52" s="255"/>
      <c r="D52" s="255"/>
      <c r="E52" s="255"/>
      <c r="G52" s="255"/>
      <c r="H52" s="255"/>
      <c r="I52" s="255"/>
      <c r="J52" s="255"/>
    </row>
    <row r="53" spans="3:10" ht="56.25" customHeight="1" x14ac:dyDescent="0.25">
      <c r="C53" s="255"/>
      <c r="D53" s="255"/>
      <c r="E53" s="255"/>
      <c r="G53" s="255"/>
      <c r="H53" s="255"/>
      <c r="I53" s="255"/>
      <c r="J53" s="255"/>
    </row>
    <row r="54" spans="3:10" ht="56.25" customHeight="1" x14ac:dyDescent="0.25">
      <c r="C54" s="255"/>
      <c r="D54" s="255"/>
      <c r="E54" s="255"/>
      <c r="G54" s="255"/>
      <c r="H54" s="255"/>
      <c r="I54" s="255"/>
      <c r="J54" s="255"/>
    </row>
    <row r="55" spans="3:10" ht="56.25" customHeight="1" x14ac:dyDescent="0.25">
      <c r="C55" s="255"/>
      <c r="D55" s="255"/>
      <c r="E55" s="255"/>
      <c r="G55" s="255"/>
      <c r="H55" s="255"/>
      <c r="I55" s="255"/>
      <c r="J55" s="255"/>
    </row>
    <row r="56" spans="3:10" ht="56.25" customHeight="1" x14ac:dyDescent="0.25">
      <c r="C56" s="255"/>
      <c r="D56" s="255"/>
      <c r="E56" s="255"/>
      <c r="G56" s="255"/>
      <c r="H56" s="255"/>
      <c r="I56" s="255"/>
      <c r="J56" s="255"/>
    </row>
    <row r="57" spans="3:10" ht="56.25" customHeight="1" x14ac:dyDescent="0.25">
      <c r="C57" s="255"/>
      <c r="D57" s="255"/>
      <c r="E57" s="255"/>
      <c r="G57" s="255"/>
      <c r="H57" s="255"/>
      <c r="I57" s="255"/>
      <c r="J57" s="255"/>
    </row>
    <row r="58" spans="3:10" ht="56.25" customHeight="1" x14ac:dyDescent="0.25">
      <c r="C58" s="255"/>
      <c r="D58" s="255"/>
      <c r="E58" s="255"/>
      <c r="G58" s="255"/>
      <c r="H58" s="255"/>
      <c r="I58" s="255"/>
      <c r="J58" s="255"/>
    </row>
    <row r="59" spans="3:10" ht="56.25" customHeight="1" x14ac:dyDescent="0.25">
      <c r="C59" s="255"/>
      <c r="D59" s="255"/>
      <c r="E59" s="255"/>
      <c r="G59" s="255"/>
      <c r="H59" s="255"/>
      <c r="I59" s="255"/>
      <c r="J59" s="255"/>
    </row>
    <row r="60" spans="3:10" ht="56.25" customHeight="1" x14ac:dyDescent="0.25">
      <c r="C60" s="255"/>
      <c r="D60" s="255"/>
      <c r="E60" s="255"/>
      <c r="G60" s="255"/>
      <c r="H60" s="255"/>
      <c r="I60" s="255"/>
      <c r="J60" s="255"/>
    </row>
    <row r="61" spans="3:10" ht="56.25" customHeight="1" x14ac:dyDescent="0.25">
      <c r="C61" s="255"/>
      <c r="D61" s="255"/>
      <c r="E61" s="255"/>
      <c r="G61" s="255"/>
      <c r="H61" s="255"/>
      <c r="I61" s="255"/>
      <c r="J61" s="255"/>
    </row>
    <row r="62" spans="3:10" ht="56.25" customHeight="1" x14ac:dyDescent="0.25">
      <c r="C62" s="255"/>
      <c r="D62" s="255"/>
      <c r="E62" s="255"/>
      <c r="G62" s="255"/>
      <c r="H62" s="255"/>
      <c r="I62" s="255"/>
      <c r="J62" s="255"/>
    </row>
    <row r="63" spans="3:10" ht="56.25" customHeight="1" x14ac:dyDescent="0.25">
      <c r="C63" s="255"/>
      <c r="D63" s="255"/>
      <c r="E63" s="255"/>
      <c r="G63" s="255"/>
      <c r="H63" s="255"/>
      <c r="I63" s="255"/>
      <c r="J63" s="255"/>
    </row>
    <row r="64" spans="3:10" ht="56.25" customHeight="1" x14ac:dyDescent="0.25">
      <c r="C64" s="255"/>
      <c r="D64" s="255"/>
      <c r="E64" s="255"/>
      <c r="G64" s="255"/>
      <c r="H64" s="255"/>
      <c r="I64" s="255"/>
      <c r="J64" s="255"/>
    </row>
    <row r="65" spans="3:10" ht="56.25" customHeight="1" x14ac:dyDescent="0.25">
      <c r="C65" s="255"/>
      <c r="D65" s="255"/>
      <c r="E65" s="255"/>
      <c r="G65" s="255"/>
      <c r="H65" s="255"/>
      <c r="I65" s="255"/>
      <c r="J65" s="255"/>
    </row>
    <row r="66" spans="3:10" ht="56.25" customHeight="1" x14ac:dyDescent="0.25">
      <c r="C66" s="255"/>
      <c r="D66" s="255"/>
      <c r="E66" s="255"/>
      <c r="G66" s="255"/>
      <c r="H66" s="255"/>
      <c r="I66" s="255"/>
      <c r="J66" s="255"/>
    </row>
    <row r="67" spans="3:10" ht="56.25" customHeight="1" x14ac:dyDescent="0.25">
      <c r="C67" s="255"/>
      <c r="D67" s="255"/>
      <c r="E67" s="255"/>
      <c r="G67" s="255"/>
      <c r="H67" s="255"/>
      <c r="I67" s="255"/>
      <c r="J67" s="255"/>
    </row>
    <row r="68" spans="3:10" ht="56.25" customHeight="1" x14ac:dyDescent="0.25">
      <c r="C68" s="255"/>
      <c r="D68" s="255"/>
      <c r="E68" s="255"/>
      <c r="G68" s="255"/>
      <c r="H68" s="255"/>
      <c r="I68" s="255"/>
      <c r="J68" s="255"/>
    </row>
    <row r="69" spans="3:10" ht="56.25" customHeight="1" x14ac:dyDescent="0.25">
      <c r="C69" s="255"/>
      <c r="D69" s="255"/>
      <c r="E69" s="255"/>
      <c r="G69" s="255"/>
      <c r="H69" s="255"/>
      <c r="I69" s="255"/>
      <c r="J69" s="255"/>
    </row>
    <row r="70" spans="3:10" ht="56.25" customHeight="1" x14ac:dyDescent="0.25">
      <c r="C70" s="255"/>
      <c r="D70" s="255"/>
      <c r="E70" s="255"/>
      <c r="G70" s="255"/>
      <c r="H70" s="255"/>
      <c r="I70" s="255"/>
      <c r="J70" s="255"/>
    </row>
    <row r="71" spans="3:10" ht="56.25" customHeight="1" x14ac:dyDescent="0.25">
      <c r="C71" s="255"/>
      <c r="D71" s="255"/>
      <c r="E71" s="255"/>
      <c r="G71" s="255"/>
      <c r="H71" s="255"/>
      <c r="I71" s="255"/>
      <c r="J71" s="255"/>
    </row>
    <row r="72" spans="3:10" ht="56.25" customHeight="1" x14ac:dyDescent="0.25">
      <c r="C72" s="255"/>
      <c r="D72" s="255"/>
      <c r="E72" s="255"/>
      <c r="G72" s="255"/>
      <c r="H72" s="255"/>
      <c r="I72" s="255"/>
      <c r="J72" s="255"/>
    </row>
    <row r="73" spans="3:10" ht="56.25" customHeight="1" x14ac:dyDescent="0.25">
      <c r="C73" s="255"/>
      <c r="D73" s="255"/>
      <c r="E73" s="255"/>
      <c r="G73" s="255"/>
      <c r="H73" s="255"/>
      <c r="I73" s="255"/>
      <c r="J73" s="255"/>
    </row>
    <row r="74" spans="3:10" ht="56.25" customHeight="1" x14ac:dyDescent="0.25">
      <c r="C74" s="255"/>
      <c r="D74" s="255"/>
      <c r="E74" s="255"/>
      <c r="G74" s="255"/>
      <c r="H74" s="255"/>
      <c r="I74" s="255"/>
      <c r="J74" s="255"/>
    </row>
    <row r="75" spans="3:10" ht="56.25" customHeight="1" x14ac:dyDescent="0.25">
      <c r="C75" s="255"/>
      <c r="D75" s="255"/>
      <c r="E75" s="255"/>
      <c r="G75" s="255"/>
      <c r="H75" s="255"/>
      <c r="I75" s="255"/>
      <c r="J75" s="255"/>
    </row>
    <row r="76" spans="3:10" ht="56.25" customHeight="1" x14ac:dyDescent="0.25">
      <c r="C76" s="255"/>
      <c r="D76" s="255"/>
      <c r="E76" s="255"/>
      <c r="G76" s="255"/>
      <c r="H76" s="255"/>
      <c r="I76" s="255"/>
      <c r="J76" s="255"/>
    </row>
    <row r="77" spans="3:10" ht="56.25" customHeight="1" x14ac:dyDescent="0.25">
      <c r="C77" s="255"/>
      <c r="D77" s="255"/>
      <c r="E77" s="255"/>
      <c r="G77" s="255"/>
      <c r="H77" s="255"/>
      <c r="I77" s="255"/>
      <c r="J77" s="255"/>
    </row>
    <row r="78" spans="3:10" ht="56.25" customHeight="1" x14ac:dyDescent="0.25">
      <c r="C78" s="255"/>
      <c r="D78" s="255"/>
      <c r="E78" s="255"/>
      <c r="G78" s="255"/>
      <c r="H78" s="255"/>
      <c r="I78" s="255"/>
      <c r="J78" s="255"/>
    </row>
    <row r="79" spans="3:10" ht="56.25" customHeight="1" x14ac:dyDescent="0.25">
      <c r="C79" s="255"/>
      <c r="D79" s="255"/>
      <c r="E79" s="255"/>
      <c r="G79" s="255"/>
      <c r="H79" s="255"/>
      <c r="I79" s="255"/>
      <c r="J79" s="255"/>
    </row>
    <row r="80" spans="3:10" ht="56.25" customHeight="1" x14ac:dyDescent="0.25">
      <c r="C80" s="255"/>
      <c r="D80" s="255"/>
      <c r="E80" s="255"/>
      <c r="G80" s="255"/>
      <c r="H80" s="255"/>
      <c r="I80" s="255"/>
      <c r="J80" s="255"/>
    </row>
    <row r="81" spans="3:10" ht="56.25" customHeight="1" x14ac:dyDescent="0.25">
      <c r="C81" s="255"/>
      <c r="D81" s="255"/>
      <c r="E81" s="255"/>
      <c r="G81" s="255"/>
      <c r="H81" s="255"/>
      <c r="I81" s="255"/>
      <c r="J81" s="255"/>
    </row>
    <row r="82" spans="3:10" ht="56.25" customHeight="1" x14ac:dyDescent="0.25">
      <c r="C82" s="255"/>
      <c r="D82" s="255"/>
      <c r="E82" s="255"/>
      <c r="G82" s="255"/>
      <c r="H82" s="255"/>
      <c r="I82" s="255"/>
      <c r="J82" s="255"/>
    </row>
    <row r="83" spans="3:10" ht="56.25" customHeight="1" x14ac:dyDescent="0.25">
      <c r="C83" s="255"/>
      <c r="D83" s="255"/>
      <c r="E83" s="255"/>
      <c r="G83" s="255"/>
      <c r="H83" s="255"/>
      <c r="I83" s="255"/>
      <c r="J83" s="255"/>
    </row>
    <row r="84" spans="3:10" ht="56.25" customHeight="1" x14ac:dyDescent="0.25">
      <c r="C84" s="255"/>
      <c r="D84" s="255"/>
      <c r="E84" s="255"/>
      <c r="G84" s="255"/>
      <c r="H84" s="255"/>
      <c r="I84" s="255"/>
      <c r="J84" s="255"/>
    </row>
    <row r="85" spans="3:10" ht="56.25" customHeight="1" x14ac:dyDescent="0.25">
      <c r="C85" s="255"/>
      <c r="D85" s="255"/>
      <c r="E85" s="255"/>
      <c r="G85" s="255"/>
      <c r="H85" s="255"/>
      <c r="I85" s="255"/>
      <c r="J85" s="255"/>
    </row>
    <row r="86" spans="3:10" ht="56.25" customHeight="1" x14ac:dyDescent="0.25">
      <c r="C86" s="255"/>
      <c r="D86" s="255"/>
      <c r="E86" s="255"/>
      <c r="G86" s="255"/>
      <c r="H86" s="255"/>
      <c r="I86" s="255"/>
      <c r="J86" s="255"/>
    </row>
    <row r="87" spans="3:10" ht="56.25" customHeight="1" x14ac:dyDescent="0.25">
      <c r="C87" s="255"/>
      <c r="D87" s="255"/>
      <c r="E87" s="255"/>
      <c r="G87" s="255"/>
      <c r="H87" s="255"/>
      <c r="I87" s="255"/>
      <c r="J87" s="255"/>
    </row>
    <row r="88" spans="3:10" ht="56.25" customHeight="1" x14ac:dyDescent="0.25">
      <c r="C88" s="255"/>
      <c r="D88" s="255"/>
      <c r="E88" s="255"/>
      <c r="G88" s="255"/>
      <c r="H88" s="255"/>
      <c r="I88" s="255"/>
      <c r="J88" s="255"/>
    </row>
    <row r="89" spans="3:10" ht="56.25" customHeight="1" x14ac:dyDescent="0.25">
      <c r="C89" s="255"/>
      <c r="D89" s="255"/>
      <c r="E89" s="255"/>
      <c r="G89" s="255"/>
      <c r="H89" s="255"/>
      <c r="I89" s="255"/>
      <c r="J89" s="255"/>
    </row>
    <row r="90" spans="3:10" ht="56.25" customHeight="1" x14ac:dyDescent="0.25">
      <c r="C90" s="255"/>
      <c r="D90" s="255"/>
      <c r="E90" s="255"/>
      <c r="G90" s="255"/>
      <c r="H90" s="255"/>
      <c r="I90" s="255"/>
      <c r="J90" s="255"/>
    </row>
    <row r="91" spans="3:10" ht="56.25" customHeight="1" x14ac:dyDescent="0.25">
      <c r="C91" s="255"/>
      <c r="D91" s="255"/>
      <c r="E91" s="255"/>
      <c r="G91" s="255"/>
      <c r="H91" s="255"/>
      <c r="I91" s="255"/>
      <c r="J91" s="255"/>
    </row>
    <row r="92" spans="3:10" ht="56.25" customHeight="1" x14ac:dyDescent="0.25">
      <c r="C92" s="255"/>
      <c r="D92" s="255"/>
      <c r="E92" s="255"/>
      <c r="G92" s="255"/>
      <c r="H92" s="255"/>
      <c r="I92" s="255"/>
      <c r="J92" s="255"/>
    </row>
    <row r="93" spans="3:10" ht="56.25" customHeight="1" x14ac:dyDescent="0.25">
      <c r="C93" s="255"/>
      <c r="D93" s="255"/>
      <c r="E93" s="255"/>
      <c r="G93" s="255"/>
      <c r="H93" s="255"/>
      <c r="I93" s="255"/>
      <c r="J93" s="255"/>
    </row>
    <row r="94" spans="3:10" ht="56.25" customHeight="1" x14ac:dyDescent="0.25">
      <c r="C94" s="255"/>
      <c r="D94" s="255"/>
      <c r="E94" s="255"/>
      <c r="G94" s="255"/>
      <c r="H94" s="255"/>
      <c r="I94" s="255"/>
      <c r="J94" s="255"/>
    </row>
    <row r="95" spans="3:10" ht="56.25" customHeight="1" x14ac:dyDescent="0.25">
      <c r="C95" s="255"/>
      <c r="D95" s="255"/>
      <c r="E95" s="255"/>
      <c r="G95" s="255"/>
      <c r="H95" s="255"/>
      <c r="I95" s="255"/>
      <c r="J95" s="255"/>
    </row>
    <row r="96" spans="3:10" ht="56.25" customHeight="1" x14ac:dyDescent="0.25">
      <c r="C96" s="255"/>
      <c r="D96" s="255"/>
      <c r="E96" s="255"/>
      <c r="G96" s="255"/>
      <c r="H96" s="255"/>
      <c r="I96" s="255"/>
      <c r="J96" s="255"/>
    </row>
    <row r="97" spans="3:10" ht="56.25" customHeight="1" x14ac:dyDescent="0.25">
      <c r="C97" s="255"/>
      <c r="D97" s="255"/>
      <c r="E97" s="255"/>
      <c r="G97" s="255"/>
      <c r="H97" s="255"/>
      <c r="I97" s="255"/>
      <c r="J97" s="255"/>
    </row>
    <row r="98" spans="3:10" ht="56.25" customHeight="1" x14ac:dyDescent="0.25">
      <c r="C98" s="255"/>
      <c r="D98" s="255"/>
      <c r="E98" s="255"/>
      <c r="G98" s="255"/>
      <c r="H98" s="255"/>
      <c r="I98" s="255"/>
      <c r="J98" s="255"/>
    </row>
    <row r="99" spans="3:10" ht="56.25" customHeight="1" x14ac:dyDescent="0.25">
      <c r="C99" s="255"/>
      <c r="D99" s="255"/>
      <c r="E99" s="255"/>
      <c r="G99" s="255"/>
      <c r="H99" s="255"/>
      <c r="I99" s="255"/>
      <c r="J99" s="255"/>
    </row>
    <row r="100" spans="3:10" ht="56.25" customHeight="1" x14ac:dyDescent="0.25">
      <c r="C100" s="255"/>
      <c r="D100" s="255"/>
      <c r="E100" s="255"/>
      <c r="G100" s="255"/>
      <c r="H100" s="255"/>
      <c r="I100" s="255"/>
      <c r="J100" s="255"/>
    </row>
    <row r="101" spans="3:10" ht="56.25" customHeight="1" x14ac:dyDescent="0.25">
      <c r="C101" s="255"/>
      <c r="D101" s="255"/>
      <c r="E101" s="255"/>
      <c r="G101" s="255"/>
      <c r="H101" s="255"/>
      <c r="I101" s="255"/>
      <c r="J101" s="255"/>
    </row>
    <row r="102" spans="3:10" ht="56.25" customHeight="1" x14ac:dyDescent="0.25">
      <c r="C102" s="255"/>
      <c r="D102" s="255"/>
      <c r="E102" s="255"/>
      <c r="G102" s="255"/>
      <c r="H102" s="255"/>
      <c r="I102" s="255"/>
      <c r="J102" s="255"/>
    </row>
    <row r="103" spans="3:10" ht="56.25" customHeight="1" x14ac:dyDescent="0.25">
      <c r="C103" s="255"/>
      <c r="D103" s="255"/>
      <c r="E103" s="255"/>
      <c r="G103" s="255"/>
      <c r="H103" s="255"/>
      <c r="I103" s="255"/>
      <c r="J103" s="255"/>
    </row>
    <row r="104" spans="3:10" ht="56.25" customHeight="1" x14ac:dyDescent="0.25">
      <c r="C104" s="255"/>
      <c r="D104" s="255"/>
      <c r="E104" s="255"/>
      <c r="G104" s="255"/>
      <c r="H104" s="255"/>
      <c r="I104" s="255"/>
      <c r="J104" s="255"/>
    </row>
    <row r="105" spans="3:10" ht="56.25" customHeight="1" x14ac:dyDescent="0.25">
      <c r="C105" s="255"/>
      <c r="D105" s="255"/>
      <c r="E105" s="255"/>
      <c r="G105" s="255"/>
      <c r="H105" s="255"/>
      <c r="I105" s="255"/>
      <c r="J105" s="255"/>
    </row>
    <row r="106" spans="3:10" ht="56.25" customHeight="1" x14ac:dyDescent="0.25">
      <c r="C106" s="255"/>
      <c r="D106" s="255"/>
      <c r="E106" s="255"/>
      <c r="G106" s="255"/>
      <c r="H106" s="255"/>
      <c r="I106" s="255"/>
      <c r="J106" s="255"/>
    </row>
    <row r="107" spans="3:10" ht="56.25" customHeight="1" x14ac:dyDescent="0.25">
      <c r="C107" s="255"/>
      <c r="D107" s="255"/>
      <c r="E107" s="255"/>
      <c r="G107" s="255"/>
      <c r="H107" s="255"/>
      <c r="I107" s="255"/>
      <c r="J107" s="255"/>
    </row>
    <row r="108" spans="3:10" ht="56.25" customHeight="1" x14ac:dyDescent="0.25">
      <c r="C108" s="255"/>
      <c r="D108" s="255"/>
      <c r="E108" s="255"/>
      <c r="G108" s="255"/>
      <c r="H108" s="255"/>
      <c r="I108" s="255"/>
      <c r="J108" s="255"/>
    </row>
    <row r="109" spans="3:10" ht="56.25" customHeight="1" x14ac:dyDescent="0.25">
      <c r="C109" s="255"/>
      <c r="D109" s="255"/>
      <c r="E109" s="255"/>
      <c r="G109" s="255"/>
      <c r="H109" s="255"/>
      <c r="I109" s="255"/>
      <c r="J109" s="255"/>
    </row>
    <row r="110" spans="3:10" ht="56.25" customHeight="1" x14ac:dyDescent="0.25">
      <c r="C110" s="255"/>
      <c r="D110" s="255"/>
      <c r="E110" s="255"/>
      <c r="G110" s="255"/>
      <c r="H110" s="255"/>
      <c r="I110" s="255"/>
      <c r="J110" s="255"/>
    </row>
    <row r="111" spans="3:10" ht="56.25" customHeight="1" x14ac:dyDescent="0.25">
      <c r="C111" s="255"/>
      <c r="D111" s="255"/>
      <c r="E111" s="255"/>
      <c r="G111" s="255"/>
      <c r="H111" s="255"/>
      <c r="I111" s="255"/>
      <c r="J111" s="255"/>
    </row>
    <row r="112" spans="3:10" ht="56.25" customHeight="1" x14ac:dyDescent="0.25">
      <c r="C112" s="255"/>
      <c r="D112" s="255"/>
      <c r="E112" s="255"/>
      <c r="G112" s="255"/>
      <c r="H112" s="255"/>
      <c r="I112" s="255"/>
      <c r="J112" s="255"/>
    </row>
    <row r="113" spans="3:10" ht="56.25" customHeight="1" x14ac:dyDescent="0.25">
      <c r="C113" s="255"/>
      <c r="D113" s="255"/>
      <c r="E113" s="255"/>
      <c r="G113" s="255"/>
      <c r="H113" s="255"/>
      <c r="I113" s="255"/>
      <c r="J113" s="255"/>
    </row>
    <row r="114" spans="3:10" ht="56.25" customHeight="1" x14ac:dyDescent="0.25">
      <c r="C114" s="255"/>
      <c r="D114" s="255"/>
      <c r="E114" s="255"/>
      <c r="G114" s="255"/>
      <c r="H114" s="255"/>
      <c r="I114" s="255"/>
      <c r="J114" s="255"/>
    </row>
    <row r="115" spans="3:10" ht="56.25" customHeight="1" x14ac:dyDescent="0.25">
      <c r="C115" s="255"/>
      <c r="D115" s="255"/>
      <c r="E115" s="255"/>
      <c r="G115" s="255"/>
      <c r="H115" s="255"/>
      <c r="I115" s="255"/>
      <c r="J115" s="255"/>
    </row>
    <row r="116" spans="3:10" ht="56.25" customHeight="1" x14ac:dyDescent="0.25">
      <c r="C116" s="255"/>
      <c r="D116" s="255"/>
      <c r="E116" s="255"/>
      <c r="G116" s="255"/>
      <c r="H116" s="255"/>
      <c r="I116" s="255"/>
      <c r="J116" s="255"/>
    </row>
    <row r="117" spans="3:10" ht="56.25" customHeight="1" x14ac:dyDescent="0.25">
      <c r="C117" s="255"/>
      <c r="D117" s="255"/>
      <c r="E117" s="255"/>
      <c r="G117" s="255"/>
      <c r="H117" s="255"/>
      <c r="I117" s="255"/>
      <c r="J117" s="255"/>
    </row>
    <row r="118" spans="3:10" ht="56.25" customHeight="1" x14ac:dyDescent="0.25">
      <c r="C118" s="255"/>
      <c r="D118" s="255"/>
      <c r="E118" s="255"/>
      <c r="G118" s="255"/>
      <c r="H118" s="255"/>
      <c r="I118" s="255"/>
      <c r="J118" s="255"/>
    </row>
    <row r="119" spans="3:10" ht="56.25" customHeight="1" x14ac:dyDescent="0.25">
      <c r="C119" s="255"/>
      <c r="D119" s="255"/>
      <c r="E119" s="255"/>
      <c r="G119" s="255"/>
      <c r="H119" s="255"/>
      <c r="I119" s="255"/>
      <c r="J119" s="255"/>
    </row>
    <row r="120" spans="3:10" ht="56.25" customHeight="1" x14ac:dyDescent="0.25">
      <c r="C120" s="255"/>
      <c r="D120" s="255"/>
      <c r="E120" s="255"/>
      <c r="G120" s="255"/>
      <c r="H120" s="255"/>
      <c r="I120" s="255"/>
      <c r="J120" s="255"/>
    </row>
    <row r="121" spans="3:10" ht="56.25" customHeight="1" x14ac:dyDescent="0.25">
      <c r="C121" s="255"/>
      <c r="D121" s="255"/>
      <c r="E121" s="255"/>
      <c r="G121" s="255"/>
      <c r="H121" s="255"/>
      <c r="I121" s="255"/>
      <c r="J121" s="255"/>
    </row>
    <row r="122" spans="3:10" ht="56.25" customHeight="1" x14ac:dyDescent="0.25">
      <c r="C122" s="255"/>
      <c r="D122" s="255"/>
      <c r="E122" s="255"/>
      <c r="G122" s="255"/>
      <c r="H122" s="255"/>
      <c r="I122" s="255"/>
      <c r="J122" s="255"/>
    </row>
    <row r="123" spans="3:10" ht="56.25" customHeight="1" x14ac:dyDescent="0.25">
      <c r="C123" s="255"/>
      <c r="D123" s="255"/>
      <c r="E123" s="255"/>
      <c r="G123" s="255"/>
      <c r="H123" s="255"/>
      <c r="I123" s="255"/>
      <c r="J123" s="255"/>
    </row>
    <row r="124" spans="3:10" ht="56.25" customHeight="1" x14ac:dyDescent="0.25">
      <c r="C124" s="255"/>
      <c r="D124" s="255"/>
      <c r="E124" s="255"/>
      <c r="G124" s="255"/>
      <c r="H124" s="255"/>
      <c r="I124" s="255"/>
      <c r="J124" s="255"/>
    </row>
    <row r="125" spans="3:10" ht="56.25" customHeight="1" x14ac:dyDescent="0.25">
      <c r="C125" s="255"/>
      <c r="D125" s="255"/>
      <c r="E125" s="255"/>
      <c r="G125" s="255"/>
      <c r="H125" s="255"/>
      <c r="I125" s="255"/>
      <c r="J125" s="255"/>
    </row>
    <row r="126" spans="3:10" ht="56.25" customHeight="1" x14ac:dyDescent="0.25">
      <c r="C126" s="255"/>
      <c r="D126" s="255"/>
      <c r="E126" s="255"/>
      <c r="G126" s="255"/>
      <c r="H126" s="255"/>
      <c r="I126" s="255"/>
      <c r="J126" s="255"/>
    </row>
    <row r="127" spans="3:10" ht="56.25" customHeight="1" x14ac:dyDescent="0.25">
      <c r="C127" s="255"/>
      <c r="D127" s="255"/>
      <c r="E127" s="255"/>
      <c r="G127" s="255"/>
      <c r="H127" s="255"/>
      <c r="I127" s="255"/>
      <c r="J127" s="255"/>
    </row>
    <row r="128" spans="3:10" ht="56.25" customHeight="1" x14ac:dyDescent="0.25">
      <c r="C128" s="255"/>
      <c r="D128" s="255"/>
      <c r="E128" s="255"/>
      <c r="G128" s="255"/>
      <c r="H128" s="255"/>
      <c r="I128" s="255"/>
      <c r="J128" s="255"/>
    </row>
    <row r="129" spans="3:10" ht="56.25" customHeight="1" x14ac:dyDescent="0.25">
      <c r="C129" s="255"/>
      <c r="D129" s="255"/>
      <c r="E129" s="255"/>
      <c r="G129" s="255"/>
      <c r="H129" s="255"/>
      <c r="I129" s="255"/>
      <c r="J129" s="255"/>
    </row>
    <row r="130" spans="3:10" ht="56.25" customHeight="1" x14ac:dyDescent="0.25">
      <c r="C130" s="255"/>
      <c r="D130" s="255"/>
      <c r="E130" s="255"/>
      <c r="G130" s="255"/>
      <c r="H130" s="255"/>
      <c r="I130" s="255"/>
      <c r="J130" s="255"/>
    </row>
    <row r="131" spans="3:10" ht="56.25" customHeight="1" x14ac:dyDescent="0.25">
      <c r="C131" s="255"/>
      <c r="D131" s="255"/>
      <c r="E131" s="255"/>
      <c r="G131" s="255"/>
      <c r="H131" s="255"/>
      <c r="I131" s="255"/>
      <c r="J131" s="255"/>
    </row>
    <row r="132" spans="3:10" ht="56.25" customHeight="1" x14ac:dyDescent="0.25">
      <c r="C132" s="255"/>
      <c r="D132" s="255"/>
      <c r="E132" s="255"/>
      <c r="G132" s="255"/>
      <c r="H132" s="255"/>
      <c r="I132" s="255"/>
      <c r="J132" s="255"/>
    </row>
    <row r="133" spans="3:10" ht="56.25" customHeight="1" x14ac:dyDescent="0.25">
      <c r="C133" s="255"/>
      <c r="D133" s="255"/>
      <c r="E133" s="255"/>
      <c r="G133" s="255"/>
      <c r="H133" s="255"/>
      <c r="I133" s="255"/>
      <c r="J133" s="255"/>
    </row>
    <row r="134" spans="3:10" ht="56.25" customHeight="1" x14ac:dyDescent="0.25">
      <c r="C134" s="255"/>
      <c r="D134" s="255"/>
      <c r="E134" s="255"/>
      <c r="G134" s="255"/>
      <c r="H134" s="255"/>
      <c r="I134" s="255"/>
      <c r="J134" s="255"/>
    </row>
    <row r="135" spans="3:10" ht="56.25" customHeight="1" x14ac:dyDescent="0.25">
      <c r="C135" s="255"/>
      <c r="D135" s="255"/>
      <c r="E135" s="255"/>
      <c r="G135" s="255"/>
      <c r="H135" s="255"/>
      <c r="I135" s="255"/>
      <c r="J135" s="255"/>
    </row>
    <row r="136" spans="3:10" ht="56.25" customHeight="1" x14ac:dyDescent="0.25">
      <c r="C136" s="255"/>
      <c r="D136" s="255"/>
      <c r="E136" s="255"/>
      <c r="G136" s="255"/>
      <c r="H136" s="255"/>
      <c r="I136" s="255"/>
      <c r="J136" s="255"/>
    </row>
    <row r="137" spans="3:10" ht="56.25" customHeight="1" x14ac:dyDescent="0.25">
      <c r="C137" s="255"/>
      <c r="D137" s="255"/>
      <c r="E137" s="255"/>
      <c r="G137" s="255"/>
      <c r="H137" s="255"/>
      <c r="I137" s="255"/>
      <c r="J137" s="255"/>
    </row>
    <row r="138" spans="3:10" ht="56.25" customHeight="1" x14ac:dyDescent="0.25">
      <c r="C138" s="255"/>
      <c r="D138" s="255"/>
      <c r="E138" s="255"/>
      <c r="G138" s="255"/>
      <c r="H138" s="255"/>
      <c r="I138" s="255"/>
      <c r="J138" s="255"/>
    </row>
    <row r="139" spans="3:10" ht="56.25" customHeight="1" x14ac:dyDescent="0.25">
      <c r="C139" s="255"/>
      <c r="D139" s="255"/>
      <c r="E139" s="255"/>
      <c r="G139" s="255"/>
      <c r="H139" s="255"/>
      <c r="I139" s="255"/>
      <c r="J139" s="255"/>
    </row>
    <row r="140" spans="3:10" ht="56.25" customHeight="1" x14ac:dyDescent="0.25">
      <c r="C140" s="255"/>
      <c r="D140" s="255"/>
      <c r="E140" s="255"/>
      <c r="G140" s="255"/>
      <c r="H140" s="255"/>
      <c r="I140" s="255"/>
      <c r="J140" s="255"/>
    </row>
    <row r="141" spans="3:10" ht="56.25" customHeight="1" x14ac:dyDescent="0.25">
      <c r="C141" s="255"/>
      <c r="D141" s="255"/>
      <c r="E141" s="255"/>
      <c r="G141" s="255"/>
      <c r="H141" s="255"/>
      <c r="I141" s="255"/>
      <c r="J141" s="255"/>
    </row>
    <row r="142" spans="3:10" ht="56.25" customHeight="1" x14ac:dyDescent="0.25">
      <c r="C142" s="255"/>
      <c r="D142" s="255"/>
      <c r="E142" s="255"/>
      <c r="G142" s="255"/>
      <c r="H142" s="255"/>
      <c r="I142" s="255"/>
      <c r="J142" s="255"/>
    </row>
    <row r="143" spans="3:10" ht="56.25" customHeight="1" x14ac:dyDescent="0.25">
      <c r="C143" s="255"/>
      <c r="D143" s="255"/>
      <c r="E143" s="255"/>
      <c r="G143" s="255"/>
      <c r="H143" s="255"/>
      <c r="I143" s="255"/>
      <c r="J143" s="255"/>
    </row>
    <row r="144" spans="3:10" ht="56.25" customHeight="1" x14ac:dyDescent="0.25">
      <c r="C144" s="255"/>
      <c r="D144" s="255"/>
      <c r="E144" s="255"/>
      <c r="G144" s="255"/>
      <c r="H144" s="255"/>
      <c r="I144" s="255"/>
      <c r="J144" s="255"/>
    </row>
    <row r="145" spans="3:10" ht="56.25" customHeight="1" x14ac:dyDescent="0.25">
      <c r="C145" s="255"/>
      <c r="D145" s="255"/>
      <c r="E145" s="255"/>
      <c r="G145" s="255"/>
      <c r="H145" s="255"/>
      <c r="I145" s="255"/>
      <c r="J145" s="255"/>
    </row>
    <row r="146" spans="3:10" ht="56.25" customHeight="1" x14ac:dyDescent="0.25">
      <c r="C146" s="255"/>
      <c r="D146" s="255"/>
      <c r="E146" s="255"/>
      <c r="G146" s="255"/>
      <c r="H146" s="255"/>
      <c r="I146" s="255"/>
      <c r="J146" s="255"/>
    </row>
    <row r="147" spans="3:10" ht="56.25" customHeight="1" x14ac:dyDescent="0.25">
      <c r="C147" s="255"/>
      <c r="D147" s="255"/>
      <c r="E147" s="255"/>
      <c r="G147" s="255"/>
      <c r="H147" s="255"/>
      <c r="I147" s="255"/>
      <c r="J147" s="255"/>
    </row>
    <row r="148" spans="3:10" ht="56.25" customHeight="1" x14ac:dyDescent="0.25">
      <c r="C148" s="255"/>
      <c r="D148" s="255"/>
      <c r="E148" s="255"/>
      <c r="G148" s="255"/>
      <c r="H148" s="255"/>
      <c r="I148" s="255"/>
      <c r="J148" s="255"/>
    </row>
    <row r="149" spans="3:10" ht="56.25" customHeight="1" x14ac:dyDescent="0.25">
      <c r="C149" s="255"/>
      <c r="D149" s="255"/>
      <c r="E149" s="255"/>
      <c r="G149" s="255"/>
      <c r="H149" s="255"/>
      <c r="I149" s="255"/>
      <c r="J149" s="255"/>
    </row>
    <row r="150" spans="3:10" ht="56.25" customHeight="1" x14ac:dyDescent="0.25">
      <c r="C150" s="255"/>
      <c r="D150" s="255"/>
      <c r="E150" s="255"/>
      <c r="G150" s="255"/>
      <c r="H150" s="255"/>
      <c r="I150" s="255"/>
      <c r="J150" s="255"/>
    </row>
    <row r="151" spans="3:10" ht="56.25" customHeight="1" x14ac:dyDescent="0.25">
      <c r="C151" s="255"/>
      <c r="D151" s="255"/>
      <c r="E151" s="255"/>
      <c r="G151" s="255"/>
      <c r="H151" s="255"/>
      <c r="I151" s="255"/>
      <c r="J151" s="255"/>
    </row>
    <row r="152" spans="3:10" ht="56.25" customHeight="1" x14ac:dyDescent="0.25">
      <c r="C152" s="255"/>
      <c r="D152" s="255"/>
      <c r="E152" s="255"/>
      <c r="G152" s="255"/>
      <c r="H152" s="255"/>
      <c r="I152" s="255"/>
      <c r="J152" s="255"/>
    </row>
    <row r="153" spans="3:10" ht="56.25" customHeight="1" x14ac:dyDescent="0.25">
      <c r="C153" s="255"/>
      <c r="D153" s="255"/>
      <c r="E153" s="255"/>
      <c r="G153" s="255"/>
      <c r="H153" s="255"/>
      <c r="I153" s="255"/>
      <c r="J153" s="255"/>
    </row>
    <row r="154" spans="3:10" ht="56.25" customHeight="1" x14ac:dyDescent="0.25">
      <c r="C154" s="255"/>
      <c r="D154" s="255"/>
      <c r="E154" s="255"/>
      <c r="G154" s="255"/>
      <c r="H154" s="255"/>
      <c r="I154" s="255"/>
      <c r="J154" s="255"/>
    </row>
    <row r="155" spans="3:10" ht="56.25" customHeight="1" x14ac:dyDescent="0.25">
      <c r="C155" s="255"/>
      <c r="D155" s="255"/>
      <c r="E155" s="255"/>
      <c r="G155" s="255"/>
      <c r="H155" s="255"/>
      <c r="I155" s="255"/>
      <c r="J155" s="255"/>
    </row>
    <row r="156" spans="3:10" ht="56.25" customHeight="1" x14ac:dyDescent="0.25">
      <c r="C156" s="255"/>
      <c r="D156" s="255"/>
      <c r="E156" s="255"/>
      <c r="G156" s="255"/>
      <c r="H156" s="255"/>
      <c r="I156" s="255"/>
      <c r="J156" s="255"/>
    </row>
    <row r="157" spans="3:10" ht="56.25" customHeight="1" x14ac:dyDescent="0.25">
      <c r="C157" s="255"/>
      <c r="D157" s="255"/>
      <c r="E157" s="255"/>
      <c r="G157" s="255"/>
      <c r="H157" s="255"/>
      <c r="I157" s="255"/>
      <c r="J157" s="255"/>
    </row>
    <row r="158" spans="3:10" ht="56.25" customHeight="1" x14ac:dyDescent="0.25">
      <c r="C158" s="255"/>
      <c r="D158" s="255"/>
      <c r="E158" s="255"/>
      <c r="G158" s="255"/>
      <c r="H158" s="255"/>
      <c r="I158" s="255"/>
      <c r="J158" s="255"/>
    </row>
    <row r="159" spans="3:10" ht="56.25" customHeight="1" x14ac:dyDescent="0.25">
      <c r="C159" s="255"/>
      <c r="D159" s="255"/>
      <c r="E159" s="255"/>
      <c r="G159" s="255"/>
      <c r="H159" s="255"/>
      <c r="I159" s="255"/>
      <c r="J159" s="255"/>
    </row>
    <row r="160" spans="3:10" ht="56.25" customHeight="1" x14ac:dyDescent="0.25">
      <c r="C160" s="255"/>
      <c r="D160" s="255"/>
      <c r="E160" s="255"/>
      <c r="G160" s="255"/>
      <c r="H160" s="255"/>
      <c r="I160" s="255"/>
      <c r="J160" s="255"/>
    </row>
    <row r="161" spans="3:10" ht="56.25" customHeight="1" x14ac:dyDescent="0.25">
      <c r="C161" s="255"/>
      <c r="D161" s="255"/>
      <c r="E161" s="255"/>
      <c r="G161" s="255"/>
      <c r="H161" s="255"/>
      <c r="I161" s="255"/>
      <c r="J161" s="255"/>
    </row>
    <row r="162" spans="3:10" ht="56.25" customHeight="1" x14ac:dyDescent="0.25">
      <c r="C162" s="255"/>
      <c r="D162" s="255"/>
      <c r="E162" s="255"/>
      <c r="G162" s="255"/>
      <c r="H162" s="255"/>
      <c r="I162" s="255"/>
      <c r="J162" s="255"/>
    </row>
    <row r="163" spans="3:10" ht="56.25" customHeight="1" x14ac:dyDescent="0.25">
      <c r="C163" s="255"/>
      <c r="D163" s="255"/>
      <c r="E163" s="255"/>
      <c r="G163" s="255"/>
      <c r="H163" s="255"/>
      <c r="I163" s="255"/>
      <c r="J163" s="255"/>
    </row>
    <row r="164" spans="3:10" ht="56.25" customHeight="1" x14ac:dyDescent="0.25">
      <c r="C164" s="255"/>
      <c r="D164" s="255"/>
      <c r="E164" s="255"/>
      <c r="G164" s="255"/>
      <c r="H164" s="255"/>
      <c r="I164" s="255"/>
      <c r="J164" s="255"/>
    </row>
    <row r="165" spans="3:10" ht="56.25" customHeight="1" x14ac:dyDescent="0.25">
      <c r="C165" s="255"/>
      <c r="D165" s="255"/>
      <c r="E165" s="255"/>
      <c r="G165" s="255"/>
      <c r="H165" s="255"/>
      <c r="I165" s="255"/>
      <c r="J165" s="255"/>
    </row>
    <row r="166" spans="3:10" ht="56.25" customHeight="1" x14ac:dyDescent="0.25">
      <c r="C166" s="255"/>
      <c r="D166" s="255"/>
      <c r="E166" s="255"/>
      <c r="G166" s="255"/>
      <c r="H166" s="255"/>
      <c r="I166" s="255"/>
      <c r="J166" s="255"/>
    </row>
    <row r="167" spans="3:10" ht="56.25" customHeight="1" x14ac:dyDescent="0.25">
      <c r="C167" s="255"/>
      <c r="D167" s="255"/>
      <c r="E167" s="255"/>
      <c r="G167" s="255"/>
      <c r="H167" s="255"/>
      <c r="I167" s="255"/>
      <c r="J167" s="255"/>
    </row>
    <row r="168" spans="3:10" ht="56.25" customHeight="1" x14ac:dyDescent="0.25">
      <c r="C168" s="255"/>
      <c r="D168" s="255"/>
      <c r="E168" s="255"/>
      <c r="G168" s="255"/>
      <c r="H168" s="255"/>
      <c r="I168" s="255"/>
      <c r="J168" s="255"/>
    </row>
    <row r="169" spans="3:10" ht="56.25" customHeight="1" x14ac:dyDescent="0.25">
      <c r="C169" s="255"/>
      <c r="D169" s="255"/>
      <c r="E169" s="255"/>
      <c r="G169" s="255"/>
      <c r="H169" s="255"/>
      <c r="I169" s="255"/>
      <c r="J169" s="255"/>
    </row>
    <row r="170" spans="3:10" ht="56.25" customHeight="1" x14ac:dyDescent="0.25">
      <c r="C170" s="255"/>
      <c r="D170" s="255"/>
      <c r="E170" s="255"/>
      <c r="G170" s="255"/>
      <c r="H170" s="255"/>
      <c r="I170" s="255"/>
      <c r="J170" s="255"/>
    </row>
    <row r="171" spans="3:10" ht="56.25" customHeight="1" x14ac:dyDescent="0.25">
      <c r="C171" s="255"/>
      <c r="D171" s="255"/>
      <c r="E171" s="255"/>
      <c r="G171" s="255"/>
      <c r="H171" s="255"/>
      <c r="I171" s="255"/>
      <c r="J171" s="255"/>
    </row>
    <row r="172" spans="3:10" ht="56.25" customHeight="1" x14ac:dyDescent="0.25">
      <c r="C172" s="255"/>
      <c r="D172" s="255"/>
      <c r="E172" s="255"/>
      <c r="G172" s="255"/>
      <c r="H172" s="255"/>
      <c r="I172" s="255"/>
      <c r="J172" s="255"/>
    </row>
    <row r="173" spans="3:10" ht="56.25" customHeight="1" x14ac:dyDescent="0.25">
      <c r="C173" s="255"/>
      <c r="D173" s="255"/>
      <c r="E173" s="255"/>
      <c r="G173" s="255"/>
      <c r="H173" s="255"/>
      <c r="I173" s="255"/>
      <c r="J173" s="255"/>
    </row>
    <row r="174" spans="3:10" ht="56.25" customHeight="1" x14ac:dyDescent="0.25">
      <c r="C174" s="255"/>
      <c r="D174" s="255"/>
      <c r="E174" s="255"/>
      <c r="G174" s="255"/>
      <c r="H174" s="255"/>
      <c r="I174" s="255"/>
      <c r="J174" s="255"/>
    </row>
    <row r="175" spans="3:10" ht="56.25" customHeight="1" x14ac:dyDescent="0.25">
      <c r="C175" s="255"/>
      <c r="D175" s="255"/>
      <c r="E175" s="255"/>
      <c r="G175" s="255"/>
      <c r="H175" s="255"/>
      <c r="I175" s="255"/>
      <c r="J175" s="255"/>
    </row>
    <row r="176" spans="3:10" ht="56.25" customHeight="1" x14ac:dyDescent="0.25">
      <c r="C176" s="255"/>
      <c r="D176" s="255"/>
      <c r="E176" s="255"/>
      <c r="G176" s="255"/>
      <c r="H176" s="255"/>
      <c r="I176" s="255"/>
      <c r="J176" s="255"/>
    </row>
    <row r="177" spans="3:10" ht="56.25" customHeight="1" x14ac:dyDescent="0.25">
      <c r="C177" s="255"/>
      <c r="D177" s="255"/>
      <c r="E177" s="255"/>
      <c r="G177" s="255"/>
      <c r="H177" s="255"/>
      <c r="I177" s="255"/>
      <c r="J177" s="255"/>
    </row>
    <row r="178" spans="3:10" ht="56.25" customHeight="1" x14ac:dyDescent="0.25">
      <c r="C178" s="255"/>
      <c r="D178" s="255"/>
      <c r="E178" s="255"/>
      <c r="G178" s="255"/>
      <c r="H178" s="255"/>
      <c r="I178" s="255"/>
      <c r="J178" s="255"/>
    </row>
    <row r="179" spans="3:10" ht="56.25" customHeight="1" x14ac:dyDescent="0.25">
      <c r="C179" s="255"/>
      <c r="D179" s="255"/>
      <c r="E179" s="255"/>
      <c r="G179" s="255"/>
      <c r="H179" s="255"/>
      <c r="I179" s="255"/>
      <c r="J179" s="255"/>
    </row>
    <row r="180" spans="3:10" ht="56.25" customHeight="1" x14ac:dyDescent="0.25">
      <c r="C180" s="255"/>
      <c r="D180" s="255"/>
      <c r="E180" s="255"/>
      <c r="G180" s="255"/>
      <c r="H180" s="255"/>
      <c r="I180" s="255"/>
      <c r="J180" s="255"/>
    </row>
    <row r="181" spans="3:10" ht="56.25" customHeight="1" x14ac:dyDescent="0.25">
      <c r="C181" s="255"/>
      <c r="D181" s="255"/>
      <c r="E181" s="255"/>
      <c r="G181" s="255"/>
      <c r="H181" s="255"/>
      <c r="I181" s="255"/>
      <c r="J181" s="255"/>
    </row>
    <row r="182" spans="3:10" ht="56.25" customHeight="1" x14ac:dyDescent="0.25">
      <c r="C182" s="255"/>
      <c r="D182" s="255"/>
      <c r="E182" s="255"/>
      <c r="G182" s="255"/>
      <c r="H182" s="255"/>
      <c r="I182" s="255"/>
      <c r="J182" s="255"/>
    </row>
    <row r="183" spans="3:10" ht="56.25" customHeight="1" x14ac:dyDescent="0.25">
      <c r="C183" s="255"/>
      <c r="D183" s="255"/>
      <c r="E183" s="255"/>
      <c r="G183" s="255"/>
      <c r="H183" s="255"/>
      <c r="I183" s="255"/>
      <c r="J183" s="255"/>
    </row>
    <row r="184" spans="3:10" ht="56.25" customHeight="1" x14ac:dyDescent="0.25">
      <c r="C184" s="255"/>
      <c r="D184" s="255"/>
      <c r="E184" s="255"/>
      <c r="G184" s="255"/>
      <c r="H184" s="255"/>
      <c r="I184" s="255"/>
      <c r="J184" s="255"/>
    </row>
    <row r="185" spans="3:10" ht="56.25" customHeight="1" x14ac:dyDescent="0.25">
      <c r="C185" s="255"/>
      <c r="D185" s="255"/>
      <c r="E185" s="255"/>
      <c r="G185" s="255"/>
      <c r="H185" s="255"/>
      <c r="I185" s="255"/>
      <c r="J185" s="255"/>
    </row>
    <row r="186" spans="3:10" ht="56.25" customHeight="1" x14ac:dyDescent="0.25">
      <c r="C186" s="255"/>
      <c r="D186" s="255"/>
      <c r="E186" s="255"/>
      <c r="G186" s="255"/>
      <c r="H186" s="255"/>
      <c r="I186" s="255"/>
      <c r="J186" s="255"/>
    </row>
    <row r="187" spans="3:10" ht="56.25" customHeight="1" x14ac:dyDescent="0.25">
      <c r="C187" s="255"/>
      <c r="D187" s="255"/>
      <c r="E187" s="255"/>
      <c r="G187" s="255"/>
      <c r="H187" s="255"/>
      <c r="I187" s="255"/>
      <c r="J187" s="255"/>
    </row>
    <row r="188" spans="3:10" ht="56.25" customHeight="1" x14ac:dyDescent="0.25">
      <c r="C188" s="255"/>
      <c r="D188" s="255"/>
      <c r="E188" s="255"/>
      <c r="G188" s="255"/>
      <c r="H188" s="255"/>
      <c r="I188" s="255"/>
      <c r="J188" s="255"/>
    </row>
    <row r="189" spans="3:10" ht="56.25" customHeight="1" x14ac:dyDescent="0.25">
      <c r="C189" s="255"/>
      <c r="D189" s="255"/>
      <c r="E189" s="255"/>
      <c r="G189" s="255"/>
      <c r="H189" s="255"/>
      <c r="I189" s="255"/>
      <c r="J189" s="255"/>
    </row>
    <row r="190" spans="3:10" ht="56.25" customHeight="1" x14ac:dyDescent="0.25">
      <c r="C190" s="255"/>
      <c r="D190" s="255"/>
      <c r="E190" s="255"/>
      <c r="G190" s="255"/>
      <c r="H190" s="255"/>
      <c r="I190" s="255"/>
      <c r="J190" s="255"/>
    </row>
  </sheetData>
  <mergeCells count="9">
    <mergeCell ref="A1:M1"/>
    <mergeCell ref="K3:M3"/>
    <mergeCell ref="K7:M7"/>
    <mergeCell ref="C13:D13"/>
    <mergeCell ref="E13:O13"/>
    <mergeCell ref="K4:M4"/>
    <mergeCell ref="K6:M6"/>
    <mergeCell ref="K9:M9"/>
    <mergeCell ref="K11:M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13BA-428C-4E50-91A5-362BA24E096A}">
  <sheetPr>
    <pageSetUpPr fitToPage="1"/>
  </sheetPr>
  <dimension ref="A1:O13"/>
  <sheetViews>
    <sheetView zoomScale="80" zoomScaleNormal="80" workbookViewId="0">
      <selection activeCell="M6" sqref="M6"/>
    </sheetView>
  </sheetViews>
  <sheetFormatPr defaultRowHeight="15" x14ac:dyDescent="0.25"/>
  <cols>
    <col min="1" max="1" width="3.85546875" style="287" bestFit="1" customWidth="1"/>
    <col min="2" max="2" width="19.7109375" style="287" bestFit="1" customWidth="1"/>
    <col min="3" max="3" width="31.85546875" style="287" customWidth="1"/>
    <col min="4" max="4" width="21.42578125" style="287" customWidth="1"/>
    <col min="5" max="5" width="25.28515625" style="287" customWidth="1"/>
    <col min="6" max="6" width="11.7109375" style="287" bestFit="1" customWidth="1"/>
    <col min="7" max="7" width="17.140625" style="287" bestFit="1" customWidth="1"/>
    <col min="8" max="8" width="12.85546875" style="287" bestFit="1" customWidth="1"/>
    <col min="9" max="9" width="12.42578125" style="287" bestFit="1" customWidth="1"/>
    <col min="10" max="10" width="12.85546875" style="287" bestFit="1" customWidth="1"/>
    <col min="11" max="11" width="10.7109375" style="287" bestFit="1" customWidth="1"/>
    <col min="12" max="12" width="17.5703125" style="287" bestFit="1" customWidth="1"/>
    <col min="13" max="13" width="12" style="287" bestFit="1" customWidth="1"/>
    <col min="14" max="14" width="40.5703125" style="287" bestFit="1" customWidth="1"/>
    <col min="15" max="15" width="15.42578125" style="287" bestFit="1" customWidth="1"/>
    <col min="16" max="16384" width="9.140625" style="287"/>
  </cols>
  <sheetData>
    <row r="1" spans="1:15" ht="20.25" x14ac:dyDescent="0.25">
      <c r="A1" s="364" t="s">
        <v>1180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253" t="s">
        <v>824</v>
      </c>
      <c r="O1" s="288">
        <v>44862</v>
      </c>
    </row>
    <row r="2" spans="1:15" ht="47.25" x14ac:dyDescent="0.25">
      <c r="A2" s="256" t="s">
        <v>554</v>
      </c>
      <c r="B2" s="257" t="s">
        <v>3</v>
      </c>
      <c r="C2" s="256" t="s">
        <v>4</v>
      </c>
      <c r="D2" s="256" t="s">
        <v>5</v>
      </c>
      <c r="E2" s="256" t="s">
        <v>666</v>
      </c>
      <c r="F2" s="256" t="s">
        <v>1114</v>
      </c>
      <c r="G2" s="289" t="s">
        <v>7</v>
      </c>
      <c r="H2" s="290" t="s">
        <v>1181</v>
      </c>
      <c r="I2" s="291" t="s">
        <v>631</v>
      </c>
      <c r="J2" s="290" t="s">
        <v>632</v>
      </c>
      <c r="K2" s="258" t="s">
        <v>11</v>
      </c>
      <c r="L2" s="256" t="s">
        <v>12</v>
      </c>
      <c r="M2" s="256" t="s">
        <v>13</v>
      </c>
      <c r="N2" s="256" t="s">
        <v>14</v>
      </c>
      <c r="O2" s="256" t="s">
        <v>15</v>
      </c>
    </row>
    <row r="3" spans="1:15" ht="60" customHeight="1" x14ac:dyDescent="0.25">
      <c r="A3" s="267">
        <v>1</v>
      </c>
      <c r="B3" s="267" t="s">
        <v>1018</v>
      </c>
      <c r="C3" s="268" t="s">
        <v>1019</v>
      </c>
      <c r="D3" s="268" t="s">
        <v>1020</v>
      </c>
      <c r="E3" s="268" t="s">
        <v>1021</v>
      </c>
      <c r="F3" s="267" t="s">
        <v>1022</v>
      </c>
      <c r="G3" s="267">
        <v>5000</v>
      </c>
      <c r="H3" s="267">
        <f>2270.78+122.01+12.2</f>
        <v>2404.9900000000002</v>
      </c>
      <c r="I3" s="267">
        <f>1032.8+225.63</f>
        <v>1258.4299999999998</v>
      </c>
      <c r="J3" s="267">
        <f>MIN(H3+I3,G3)</f>
        <v>3663.42</v>
      </c>
      <c r="K3" s="361" t="s">
        <v>1112</v>
      </c>
      <c r="L3" s="362"/>
      <c r="M3" s="363"/>
      <c r="N3" s="268" t="s">
        <v>1155</v>
      </c>
      <c r="O3" s="279">
        <v>44862</v>
      </c>
    </row>
    <row r="4" spans="1:15" ht="60" customHeight="1" x14ac:dyDescent="0.25">
      <c r="A4" s="267">
        <v>2</v>
      </c>
      <c r="B4" s="267" t="s">
        <v>1101</v>
      </c>
      <c r="C4" s="268" t="s">
        <v>1102</v>
      </c>
      <c r="D4" s="268" t="s">
        <v>1103</v>
      </c>
      <c r="E4" s="268" t="s">
        <v>1104</v>
      </c>
      <c r="F4" s="267" t="s">
        <v>1122</v>
      </c>
      <c r="G4" s="267">
        <v>970</v>
      </c>
      <c r="H4" s="267">
        <v>236.84</v>
      </c>
      <c r="I4" s="267">
        <f>1088.91+94.76</f>
        <v>1183.67</v>
      </c>
      <c r="J4" s="267">
        <f>MIN(H4+I4,G4)</f>
        <v>970</v>
      </c>
      <c r="K4" s="361" t="s">
        <v>1112</v>
      </c>
      <c r="L4" s="362"/>
      <c r="M4" s="363"/>
      <c r="N4" s="268" t="s">
        <v>1156</v>
      </c>
      <c r="O4" s="279">
        <v>44862</v>
      </c>
    </row>
    <row r="5" spans="1:15" ht="60" customHeight="1" x14ac:dyDescent="0.25">
      <c r="A5" s="267">
        <v>3</v>
      </c>
      <c r="B5" s="267" t="s">
        <v>1131</v>
      </c>
      <c r="C5" s="268" t="s">
        <v>1132</v>
      </c>
      <c r="D5" s="268" t="s">
        <v>1133</v>
      </c>
      <c r="E5" s="268" t="s">
        <v>1157</v>
      </c>
      <c r="F5" s="267" t="s">
        <v>1135</v>
      </c>
      <c r="G5" s="267">
        <v>3000</v>
      </c>
      <c r="H5" s="267">
        <v>319.20999999999998</v>
      </c>
      <c r="I5" s="267">
        <f>1500.12+94.75</f>
        <v>1594.87</v>
      </c>
      <c r="J5" s="267">
        <f t="shared" ref="J5:J8" si="0">MIN(H5+I5,G5)</f>
        <v>1914.08</v>
      </c>
      <c r="K5" s="270">
        <v>1</v>
      </c>
      <c r="L5" s="268" t="s">
        <v>1074</v>
      </c>
      <c r="M5" s="105" t="s">
        <v>120</v>
      </c>
      <c r="N5" s="268" t="s">
        <v>1156</v>
      </c>
      <c r="O5" s="279">
        <v>44862</v>
      </c>
    </row>
    <row r="6" spans="1:15" ht="60" customHeight="1" x14ac:dyDescent="0.25">
      <c r="A6" s="267">
        <v>4</v>
      </c>
      <c r="B6" s="267" t="s">
        <v>1141</v>
      </c>
      <c r="C6" s="268" t="s">
        <v>1142</v>
      </c>
      <c r="D6" s="268" t="s">
        <v>1143</v>
      </c>
      <c r="E6" s="268" t="s">
        <v>1144</v>
      </c>
      <c r="F6" s="267" t="s">
        <v>1145</v>
      </c>
      <c r="G6" s="267">
        <v>460</v>
      </c>
      <c r="H6" s="267">
        <v>118.62</v>
      </c>
      <c r="I6" s="267">
        <f>1361.98+94.75</f>
        <v>1456.73</v>
      </c>
      <c r="J6" s="267">
        <f t="shared" si="0"/>
        <v>460</v>
      </c>
      <c r="K6" s="270">
        <v>1</v>
      </c>
      <c r="L6" s="268" t="s">
        <v>1074</v>
      </c>
      <c r="M6" s="105" t="s">
        <v>120</v>
      </c>
      <c r="N6" s="268" t="s">
        <v>1156</v>
      </c>
      <c r="O6" s="279">
        <v>44862</v>
      </c>
    </row>
    <row r="7" spans="1:15" ht="60" customHeight="1" x14ac:dyDescent="0.25">
      <c r="A7" s="267">
        <v>5</v>
      </c>
      <c r="B7" s="267" t="s">
        <v>1158</v>
      </c>
      <c r="C7" s="268" t="s">
        <v>1159</v>
      </c>
      <c r="D7" s="268" t="s">
        <v>1160</v>
      </c>
      <c r="E7" s="268" t="s">
        <v>1161</v>
      </c>
      <c r="F7" s="267" t="s">
        <v>1162</v>
      </c>
      <c r="G7" s="267">
        <v>70</v>
      </c>
      <c r="H7" s="267">
        <v>82.21</v>
      </c>
      <c r="I7" s="267">
        <f>2380+55.2</f>
        <v>2435.1999999999998</v>
      </c>
      <c r="J7" s="267">
        <f t="shared" si="0"/>
        <v>70</v>
      </c>
      <c r="K7" s="361" t="s">
        <v>1112</v>
      </c>
      <c r="L7" s="362"/>
      <c r="M7" s="363"/>
      <c r="N7" s="268" t="s">
        <v>289</v>
      </c>
      <c r="O7" s="279">
        <v>44862</v>
      </c>
    </row>
    <row r="8" spans="1:15" ht="60" customHeight="1" x14ac:dyDescent="0.25">
      <c r="A8" s="267">
        <v>6</v>
      </c>
      <c r="B8" s="280" t="s">
        <v>1163</v>
      </c>
      <c r="C8" s="280" t="s">
        <v>1164</v>
      </c>
      <c r="D8" s="281" t="s">
        <v>1165</v>
      </c>
      <c r="E8" s="281" t="s">
        <v>1166</v>
      </c>
      <c r="F8" s="280" t="s">
        <v>1167</v>
      </c>
      <c r="G8" s="267">
        <v>590</v>
      </c>
      <c r="H8" s="267">
        <v>78.64</v>
      </c>
      <c r="I8" s="267">
        <f>1537+55.2</f>
        <v>1592.2</v>
      </c>
      <c r="J8" s="267">
        <f t="shared" si="0"/>
        <v>590</v>
      </c>
      <c r="K8" s="361" t="s">
        <v>1112</v>
      </c>
      <c r="L8" s="362"/>
      <c r="M8" s="363"/>
      <c r="N8" s="268" t="s">
        <v>289</v>
      </c>
      <c r="O8" s="279">
        <v>44862</v>
      </c>
    </row>
    <row r="9" spans="1:15" ht="60" customHeight="1" x14ac:dyDescent="0.25">
      <c r="A9" s="282">
        <v>7</v>
      </c>
      <c r="B9" s="282" t="s">
        <v>1168</v>
      </c>
      <c r="C9" s="282" t="s">
        <v>1164</v>
      </c>
      <c r="D9" s="283" t="s">
        <v>1169</v>
      </c>
      <c r="E9" s="284" t="s">
        <v>1170</v>
      </c>
      <c r="F9" s="282" t="s">
        <v>1167</v>
      </c>
      <c r="G9" s="282">
        <v>650</v>
      </c>
      <c r="H9" s="282">
        <v>44.11</v>
      </c>
      <c r="I9" s="282">
        <f>1543+55.2</f>
        <v>1598.2</v>
      </c>
      <c r="J9" s="282">
        <f>H9+I9</f>
        <v>1642.31</v>
      </c>
      <c r="K9" s="293">
        <v>1642.31</v>
      </c>
      <c r="L9" s="283" t="s">
        <v>1071</v>
      </c>
      <c r="M9" s="294" t="s">
        <v>120</v>
      </c>
      <c r="N9" s="283" t="s">
        <v>289</v>
      </c>
      <c r="O9" s="285">
        <v>44862</v>
      </c>
    </row>
    <row r="10" spans="1:15" ht="60" customHeight="1" x14ac:dyDescent="0.25">
      <c r="A10" s="282">
        <v>8</v>
      </c>
      <c r="B10" s="282" t="s">
        <v>1171</v>
      </c>
      <c r="C10" s="282" t="s">
        <v>1164</v>
      </c>
      <c r="D10" s="283" t="s">
        <v>1169</v>
      </c>
      <c r="E10" s="284" t="s">
        <v>1172</v>
      </c>
      <c r="F10" s="282" t="s">
        <v>1167</v>
      </c>
      <c r="G10" s="282">
        <v>840</v>
      </c>
      <c r="H10" s="282">
        <v>57.52</v>
      </c>
      <c r="I10" s="282">
        <f>1543+55.2</f>
        <v>1598.2</v>
      </c>
      <c r="J10" s="282">
        <f t="shared" ref="J10:J11" si="1">H10+I10</f>
        <v>1655.72</v>
      </c>
      <c r="K10" s="293">
        <v>1655.72</v>
      </c>
      <c r="L10" s="283" t="s">
        <v>1071</v>
      </c>
      <c r="M10" s="294" t="s">
        <v>120</v>
      </c>
      <c r="N10" s="283" t="s">
        <v>289</v>
      </c>
      <c r="O10" s="285">
        <v>44862</v>
      </c>
    </row>
    <row r="11" spans="1:15" ht="60" customHeight="1" x14ac:dyDescent="0.25">
      <c r="A11" s="282">
        <v>9</v>
      </c>
      <c r="B11" s="282" t="s">
        <v>1173</v>
      </c>
      <c r="C11" s="282" t="s">
        <v>1164</v>
      </c>
      <c r="D11" s="283" t="s">
        <v>1169</v>
      </c>
      <c r="E11" s="286" t="s">
        <v>1174</v>
      </c>
      <c r="F11" s="282" t="s">
        <v>1167</v>
      </c>
      <c r="G11" s="282">
        <v>460</v>
      </c>
      <c r="H11" s="282">
        <v>43.53</v>
      </c>
      <c r="I11" s="282">
        <f>1543+55.2</f>
        <v>1598.2</v>
      </c>
      <c r="J11" s="282">
        <f t="shared" si="1"/>
        <v>1641.73</v>
      </c>
      <c r="K11" s="293">
        <v>1641.73</v>
      </c>
      <c r="L11" s="283" t="s">
        <v>1183</v>
      </c>
      <c r="M11" s="294" t="s">
        <v>120</v>
      </c>
      <c r="N11" s="283" t="s">
        <v>289</v>
      </c>
      <c r="O11" s="285">
        <v>44862</v>
      </c>
    </row>
    <row r="12" spans="1:15" ht="60" customHeight="1" x14ac:dyDescent="0.25">
      <c r="A12" s="267">
        <v>10</v>
      </c>
      <c r="B12" s="280" t="s">
        <v>1175</v>
      </c>
      <c r="C12" s="281" t="s">
        <v>1176</v>
      </c>
      <c r="D12" s="281" t="s">
        <v>1177</v>
      </c>
      <c r="E12" s="281" t="s">
        <v>1178</v>
      </c>
      <c r="F12" s="280" t="s">
        <v>1179</v>
      </c>
      <c r="G12" s="267">
        <v>2390</v>
      </c>
      <c r="H12" s="267">
        <v>503.47</v>
      </c>
      <c r="I12" s="267">
        <f>1111.86+55.2</f>
        <v>1167.06</v>
      </c>
      <c r="J12" s="267">
        <f>MIN(H12+I12,G12)</f>
        <v>1670.53</v>
      </c>
      <c r="K12" s="270">
        <v>1</v>
      </c>
      <c r="L12" s="268" t="s">
        <v>1184</v>
      </c>
      <c r="M12" s="105" t="s">
        <v>120</v>
      </c>
      <c r="N12" s="268" t="s">
        <v>289</v>
      </c>
      <c r="O12" s="279">
        <v>44862</v>
      </c>
    </row>
    <row r="13" spans="1:15" ht="15.75" x14ac:dyDescent="0.25">
      <c r="A13" s="267"/>
      <c r="B13" s="275" t="s">
        <v>1016</v>
      </c>
      <c r="C13" s="360" t="s">
        <v>645</v>
      </c>
      <c r="D13" s="360"/>
      <c r="E13" s="292" t="s">
        <v>1182</v>
      </c>
      <c r="F13" s="292"/>
      <c r="G13" s="292"/>
      <c r="H13" s="292"/>
      <c r="I13" s="292"/>
      <c r="J13" s="292"/>
      <c r="K13" s="292"/>
      <c r="L13" s="292"/>
      <c r="M13" s="292"/>
      <c r="N13" s="292"/>
      <c r="O13" s="292"/>
    </row>
  </sheetData>
  <mergeCells count="6">
    <mergeCell ref="A1:M1"/>
    <mergeCell ref="C13:D13"/>
    <mergeCell ref="K3:M3"/>
    <mergeCell ref="K4:M4"/>
    <mergeCell ref="K7:M7"/>
    <mergeCell ref="K8:M8"/>
  </mergeCells>
  <pageMargins left="0.7" right="0.7" top="0.75" bottom="0.75" header="0.3" footer="0.3"/>
  <pageSetup paperSize="5" scale="6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3E9B-14AB-4C6F-8F4C-62AF9AA430B7}">
  <dimension ref="A1:P13"/>
  <sheetViews>
    <sheetView tabSelected="1" zoomScale="70" zoomScaleNormal="70" workbookViewId="0">
      <selection activeCell="Q13" sqref="Q13"/>
    </sheetView>
  </sheetViews>
  <sheetFormatPr defaultColWidth="13.42578125" defaultRowHeight="27" customHeight="1" x14ac:dyDescent="0.25"/>
  <cols>
    <col min="1" max="1" width="3.85546875" bestFit="1" customWidth="1"/>
    <col min="2" max="2" width="19.7109375" bestFit="1" customWidth="1"/>
    <col min="3" max="3" width="27.42578125" bestFit="1" customWidth="1"/>
    <col min="4" max="4" width="24" customWidth="1"/>
    <col min="5" max="5" width="25.140625" customWidth="1"/>
    <col min="6" max="6" width="11.5703125" bestFit="1" customWidth="1"/>
    <col min="7" max="7" width="14" customWidth="1"/>
    <col min="8" max="8" width="12.85546875" bestFit="1" customWidth="1"/>
    <col min="9" max="9" width="12.140625" customWidth="1"/>
    <col min="10" max="10" width="12.5703125" customWidth="1"/>
    <col min="11" max="11" width="10.7109375" customWidth="1"/>
    <col min="12" max="13" width="20.42578125" customWidth="1"/>
    <col min="14" max="14" width="31.85546875" customWidth="1"/>
    <col min="15" max="15" width="15" bestFit="1" customWidth="1"/>
  </cols>
  <sheetData>
    <row r="1" spans="1:16" ht="27" customHeight="1" x14ac:dyDescent="0.25">
      <c r="A1" s="364" t="s">
        <v>1185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253" t="s">
        <v>824</v>
      </c>
      <c r="O1" s="288">
        <v>45072</v>
      </c>
      <c r="P1" s="255"/>
    </row>
    <row r="2" spans="1:16" ht="60" customHeight="1" x14ac:dyDescent="0.25">
      <c r="A2" s="256" t="s">
        <v>554</v>
      </c>
      <c r="B2" s="257" t="s">
        <v>3</v>
      </c>
      <c r="C2" s="256" t="s">
        <v>4</v>
      </c>
      <c r="D2" s="256" t="s">
        <v>5</v>
      </c>
      <c r="E2" s="256" t="s">
        <v>666</v>
      </c>
      <c r="F2" s="256" t="s">
        <v>1114</v>
      </c>
      <c r="G2" s="289" t="s">
        <v>7</v>
      </c>
      <c r="H2" s="290" t="s">
        <v>1186</v>
      </c>
      <c r="I2" s="291" t="s">
        <v>631</v>
      </c>
      <c r="J2" s="290" t="s">
        <v>632</v>
      </c>
      <c r="K2" s="258" t="s">
        <v>11</v>
      </c>
      <c r="L2" s="256" t="s">
        <v>12</v>
      </c>
      <c r="M2" s="256" t="s">
        <v>13</v>
      </c>
      <c r="N2" s="256" t="s">
        <v>14</v>
      </c>
      <c r="O2" s="256" t="s">
        <v>15</v>
      </c>
      <c r="P2" s="255"/>
    </row>
    <row r="3" spans="1:16" ht="60" customHeight="1" x14ac:dyDescent="0.25">
      <c r="A3" s="267">
        <v>1</v>
      </c>
      <c r="B3" s="267" t="s">
        <v>1018</v>
      </c>
      <c r="C3" s="268" t="s">
        <v>1019</v>
      </c>
      <c r="D3" s="268" t="s">
        <v>1020</v>
      </c>
      <c r="E3" s="268" t="s">
        <v>1187</v>
      </c>
      <c r="F3" s="267" t="s">
        <v>1022</v>
      </c>
      <c r="G3" s="267">
        <v>5000</v>
      </c>
      <c r="H3" s="267">
        <f>2138.88+131.9+135.55+122.01</f>
        <v>2528.3400000000006</v>
      </c>
      <c r="I3" s="267">
        <f>1032.8+267.51</f>
        <v>1300.31</v>
      </c>
      <c r="J3" s="371">
        <f>MIN(H3+I3,G3)</f>
        <v>3828.6500000000005</v>
      </c>
      <c r="K3" s="278">
        <v>1</v>
      </c>
      <c r="L3" s="371" t="s">
        <v>1210</v>
      </c>
      <c r="M3" s="105" t="s">
        <v>120</v>
      </c>
      <c r="N3" s="268" t="s">
        <v>1188</v>
      </c>
      <c r="O3" s="372">
        <v>45072</v>
      </c>
      <c r="P3" s="255"/>
    </row>
    <row r="4" spans="1:16" ht="60" customHeight="1" x14ac:dyDescent="0.25">
      <c r="A4" s="267">
        <v>2</v>
      </c>
      <c r="B4" s="267" t="s">
        <v>1101</v>
      </c>
      <c r="C4" s="268" t="s">
        <v>1102</v>
      </c>
      <c r="D4" s="268" t="s">
        <v>1103</v>
      </c>
      <c r="E4" s="268" t="s">
        <v>1104</v>
      </c>
      <c r="F4" s="267" t="s">
        <v>1122</v>
      </c>
      <c r="G4" s="267">
        <v>970</v>
      </c>
      <c r="H4" s="273">
        <v>252.9</v>
      </c>
      <c r="I4" s="267">
        <f>1088.91+136.65</f>
        <v>1225.5600000000002</v>
      </c>
      <c r="J4" s="371">
        <f t="shared" ref="J4:J9" si="0">MIN(H4+I4,G4)</f>
        <v>970</v>
      </c>
      <c r="K4" s="361" t="s">
        <v>1112</v>
      </c>
      <c r="L4" s="362"/>
      <c r="M4" s="363"/>
      <c r="N4" s="268" t="s">
        <v>1189</v>
      </c>
      <c r="O4" s="372">
        <v>45072</v>
      </c>
      <c r="P4" s="255"/>
    </row>
    <row r="5" spans="1:16" ht="60" customHeight="1" x14ac:dyDescent="0.25">
      <c r="A5" s="267">
        <v>3</v>
      </c>
      <c r="B5" s="267" t="s">
        <v>1158</v>
      </c>
      <c r="C5" s="268" t="s">
        <v>1159</v>
      </c>
      <c r="D5" s="268" t="s">
        <v>1160</v>
      </c>
      <c r="E5" s="268" t="s">
        <v>1161</v>
      </c>
      <c r="F5" s="267" t="s">
        <v>1162</v>
      </c>
      <c r="G5" s="267">
        <v>70</v>
      </c>
      <c r="H5" s="267">
        <v>90.36</v>
      </c>
      <c r="I5" s="267">
        <f>2380+97.09</f>
        <v>2477.09</v>
      </c>
      <c r="J5" s="371">
        <f t="shared" si="0"/>
        <v>70</v>
      </c>
      <c r="K5" s="361" t="s">
        <v>1112</v>
      </c>
      <c r="L5" s="362"/>
      <c r="M5" s="363"/>
      <c r="N5" s="268" t="s">
        <v>1190</v>
      </c>
      <c r="O5" s="372">
        <v>45072</v>
      </c>
      <c r="P5" s="255"/>
    </row>
    <row r="6" spans="1:16" ht="60" customHeight="1" x14ac:dyDescent="0.25">
      <c r="A6" s="267">
        <v>4</v>
      </c>
      <c r="B6" s="267" t="s">
        <v>1163</v>
      </c>
      <c r="C6" s="267" t="s">
        <v>1164</v>
      </c>
      <c r="D6" s="268" t="s">
        <v>1165</v>
      </c>
      <c r="E6" s="268" t="s">
        <v>1166</v>
      </c>
      <c r="F6" s="267" t="s">
        <v>1167</v>
      </c>
      <c r="G6" s="267">
        <v>590</v>
      </c>
      <c r="H6" s="267">
        <v>94.18</v>
      </c>
      <c r="I6" s="267">
        <f>1537+97.09</f>
        <v>1634.09</v>
      </c>
      <c r="J6" s="371">
        <f t="shared" si="0"/>
        <v>590</v>
      </c>
      <c r="K6" s="361" t="s">
        <v>1112</v>
      </c>
      <c r="L6" s="362"/>
      <c r="M6" s="363"/>
      <c r="N6" s="268" t="s">
        <v>1190</v>
      </c>
      <c r="O6" s="372">
        <v>45072</v>
      </c>
      <c r="P6" s="255"/>
    </row>
    <row r="7" spans="1:16" ht="60" customHeight="1" x14ac:dyDescent="0.25">
      <c r="A7" s="267">
        <v>5</v>
      </c>
      <c r="B7" s="267" t="s">
        <v>1191</v>
      </c>
      <c r="C7" s="268" t="s">
        <v>1192</v>
      </c>
      <c r="D7" s="268" t="s">
        <v>1193</v>
      </c>
      <c r="E7" s="268" t="s">
        <v>1194</v>
      </c>
      <c r="F7" s="267" t="s">
        <v>1195</v>
      </c>
      <c r="G7" s="269">
        <v>700</v>
      </c>
      <c r="H7" s="270">
        <v>58.24</v>
      </c>
      <c r="I7" s="270">
        <f>1342.79+41.89</f>
        <v>1384.68</v>
      </c>
      <c r="J7" s="371">
        <f t="shared" si="0"/>
        <v>700</v>
      </c>
      <c r="K7" s="373">
        <v>1</v>
      </c>
      <c r="L7" s="371" t="s">
        <v>1211</v>
      </c>
      <c r="M7" s="105" t="s">
        <v>120</v>
      </c>
      <c r="N7" s="268" t="s">
        <v>289</v>
      </c>
      <c r="O7" s="372">
        <v>45072</v>
      </c>
      <c r="P7" s="255"/>
    </row>
    <row r="8" spans="1:16" ht="60" customHeight="1" x14ac:dyDescent="0.25">
      <c r="A8" s="282">
        <v>6</v>
      </c>
      <c r="B8" s="267" t="s">
        <v>1196</v>
      </c>
      <c r="C8" s="268" t="s">
        <v>1192</v>
      </c>
      <c r="D8" s="268" t="s">
        <v>1197</v>
      </c>
      <c r="E8" s="268" t="s">
        <v>1198</v>
      </c>
      <c r="F8" s="267" t="s">
        <v>1199</v>
      </c>
      <c r="G8" s="269">
        <v>1880</v>
      </c>
      <c r="H8" s="270">
        <v>226.28</v>
      </c>
      <c r="I8" s="270">
        <f>1016.39+41.89</f>
        <v>1058.28</v>
      </c>
      <c r="J8" s="371">
        <f t="shared" si="0"/>
        <v>1284.56</v>
      </c>
      <c r="K8" s="361" t="s">
        <v>1112</v>
      </c>
      <c r="L8" s="362"/>
      <c r="M8" s="363"/>
      <c r="N8" s="268" t="s">
        <v>289</v>
      </c>
      <c r="O8" s="372">
        <v>45072</v>
      </c>
      <c r="P8" s="255"/>
    </row>
    <row r="9" spans="1:16" ht="60" customHeight="1" x14ac:dyDescent="0.25">
      <c r="A9" s="282">
        <v>7</v>
      </c>
      <c r="B9" s="267" t="s">
        <v>1200</v>
      </c>
      <c r="C9" s="268" t="s">
        <v>1192</v>
      </c>
      <c r="D9" s="268" t="s">
        <v>1197</v>
      </c>
      <c r="E9" s="374" t="s">
        <v>1201</v>
      </c>
      <c r="F9" s="267" t="s">
        <v>1199</v>
      </c>
      <c r="G9" s="267">
        <v>12260</v>
      </c>
      <c r="H9" s="267">
        <v>1470.12</v>
      </c>
      <c r="I9" s="270">
        <f>1016.39+41.89</f>
        <v>1058.28</v>
      </c>
      <c r="J9" s="371">
        <f t="shared" si="0"/>
        <v>2528.3999999999996</v>
      </c>
      <c r="K9" s="385" t="s">
        <v>1212</v>
      </c>
      <c r="L9" s="386"/>
      <c r="M9" s="387"/>
      <c r="N9" s="268" t="s">
        <v>289</v>
      </c>
      <c r="O9" s="372">
        <v>45072</v>
      </c>
      <c r="P9" s="255"/>
    </row>
    <row r="10" spans="1:16" ht="60" customHeight="1" x14ac:dyDescent="0.25">
      <c r="A10" s="377">
        <v>8</v>
      </c>
      <c r="B10" s="377" t="s">
        <v>1202</v>
      </c>
      <c r="C10" s="378" t="s">
        <v>1203</v>
      </c>
      <c r="D10" s="378" t="s">
        <v>1204</v>
      </c>
      <c r="E10" s="378" t="s">
        <v>1205</v>
      </c>
      <c r="F10" s="379" t="s">
        <v>1206</v>
      </c>
      <c r="G10" s="380">
        <v>1060</v>
      </c>
      <c r="H10" s="379">
        <v>61.69</v>
      </c>
      <c r="I10" s="379">
        <v>733.39</v>
      </c>
      <c r="J10" s="381">
        <v>795.08</v>
      </c>
      <c r="K10" s="382"/>
      <c r="L10" s="381"/>
      <c r="M10" s="378"/>
      <c r="N10" s="378" t="s">
        <v>289</v>
      </c>
      <c r="O10" s="383">
        <v>45072</v>
      </c>
      <c r="P10" s="255"/>
    </row>
    <row r="11" spans="1:16" ht="60" customHeight="1" x14ac:dyDescent="0.25">
      <c r="A11" s="377">
        <v>9</v>
      </c>
      <c r="B11" s="377" t="s">
        <v>1207</v>
      </c>
      <c r="C11" s="378" t="s">
        <v>1203</v>
      </c>
      <c r="D11" s="378" t="s">
        <v>1208</v>
      </c>
      <c r="E11" s="384" t="s">
        <v>1209</v>
      </c>
      <c r="F11" s="379" t="s">
        <v>1206</v>
      </c>
      <c r="G11" s="380">
        <v>8050</v>
      </c>
      <c r="H11" s="379">
        <v>16425.02</v>
      </c>
      <c r="I11" s="379">
        <v>733.39</v>
      </c>
      <c r="J11" s="381">
        <v>8050</v>
      </c>
      <c r="K11" s="382"/>
      <c r="L11" s="381"/>
      <c r="M11" s="378"/>
      <c r="N11" s="378" t="s">
        <v>289</v>
      </c>
      <c r="O11" s="383">
        <v>45072</v>
      </c>
      <c r="P11" s="255"/>
    </row>
    <row r="12" spans="1:16" ht="15.75" x14ac:dyDescent="0.25">
      <c r="A12" s="267"/>
      <c r="B12" s="275" t="s">
        <v>1016</v>
      </c>
      <c r="C12" s="375" t="s">
        <v>645</v>
      </c>
      <c r="D12" s="375"/>
      <c r="E12" s="292" t="s">
        <v>1182</v>
      </c>
      <c r="F12" s="292"/>
      <c r="G12" s="292"/>
      <c r="H12" s="292"/>
      <c r="I12" s="292"/>
      <c r="J12" s="292"/>
      <c r="K12" s="292"/>
      <c r="L12" s="292"/>
      <c r="M12" s="292"/>
      <c r="N12" s="292"/>
      <c r="O12" s="376"/>
      <c r="P12" s="255"/>
    </row>
    <row r="13" spans="1:16" ht="27" customHeight="1" x14ac:dyDescent="0.25">
      <c r="A13" s="255"/>
      <c r="B13" s="255"/>
      <c r="C13" s="276"/>
      <c r="D13" s="276"/>
      <c r="E13" s="276"/>
      <c r="F13" s="255"/>
      <c r="G13" s="277"/>
      <c r="H13" s="266"/>
      <c r="I13" s="266"/>
      <c r="J13" s="266"/>
      <c r="K13" s="278"/>
      <c r="L13" s="255"/>
      <c r="M13" s="276"/>
      <c r="N13" s="255"/>
      <c r="O13" s="255"/>
      <c r="P13" s="255"/>
    </row>
  </sheetData>
  <mergeCells count="7">
    <mergeCell ref="A1:M1"/>
    <mergeCell ref="C12:D12"/>
    <mergeCell ref="K4:M4"/>
    <mergeCell ref="K5:M5"/>
    <mergeCell ref="K6:M6"/>
    <mergeCell ref="K8:M8"/>
    <mergeCell ref="K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6"/>
  <sheetViews>
    <sheetView topLeftCell="A40" workbookViewId="0">
      <selection activeCell="E70" sqref="E70"/>
    </sheetView>
  </sheetViews>
  <sheetFormatPr defaultRowHeight="15" x14ac:dyDescent="0.25"/>
  <cols>
    <col min="1" max="1" width="5.42578125" style="52" bestFit="1" customWidth="1"/>
    <col min="2" max="2" width="15.5703125" style="47" bestFit="1" customWidth="1"/>
    <col min="3" max="3" width="15" style="47" bestFit="1" customWidth="1"/>
    <col min="4" max="4" width="12.7109375" style="63" bestFit="1" customWidth="1"/>
    <col min="5" max="5" width="15.42578125" style="63" customWidth="1"/>
    <col min="6" max="6" width="10.140625" style="47" bestFit="1" customWidth="1"/>
    <col min="7" max="7" width="12.85546875" style="47" bestFit="1" customWidth="1"/>
    <col min="8" max="8" width="8.7109375" style="47" bestFit="1" customWidth="1"/>
    <col min="9" max="9" width="7.5703125" style="62" bestFit="1" customWidth="1"/>
    <col min="10" max="10" width="9" style="47" bestFit="1" customWidth="1"/>
    <col min="11" max="11" width="8" style="62" bestFit="1" customWidth="1"/>
    <col min="12" max="12" width="12" style="52" bestFit="1" customWidth="1"/>
    <col min="13" max="13" width="9" style="52" bestFit="1" customWidth="1"/>
    <col min="14" max="14" width="16.42578125" style="52" bestFit="1" customWidth="1"/>
    <col min="15" max="15" width="10.28515625" style="52" bestFit="1" customWidth="1"/>
    <col min="16" max="16384" width="9.140625" style="47"/>
  </cols>
  <sheetData>
    <row r="1" spans="1:20" x14ac:dyDescent="0.25">
      <c r="A1" s="297" t="s">
        <v>271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</row>
    <row r="2" spans="1:20" x14ac:dyDescent="0.25">
      <c r="A2" s="48"/>
      <c r="B2" s="49"/>
      <c r="C2" s="49"/>
      <c r="D2" s="50"/>
      <c r="E2" s="50"/>
      <c r="F2" s="49"/>
      <c r="G2" s="49"/>
      <c r="H2" s="49"/>
      <c r="I2" s="51"/>
      <c r="J2" s="49"/>
      <c r="K2" s="51"/>
    </row>
    <row r="3" spans="1:20" ht="30" x14ac:dyDescent="0.25">
      <c r="A3" s="53" t="s">
        <v>2</v>
      </c>
      <c r="B3" s="54" t="s">
        <v>3</v>
      </c>
      <c r="C3" s="54" t="s">
        <v>272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273</v>
      </c>
      <c r="I3" s="55" t="s">
        <v>274</v>
      </c>
      <c r="J3" s="53" t="s">
        <v>275</v>
      </c>
      <c r="K3" s="56" t="s">
        <v>11</v>
      </c>
      <c r="L3" s="53" t="s">
        <v>276</v>
      </c>
      <c r="M3" s="53" t="s">
        <v>13</v>
      </c>
      <c r="N3" s="53" t="s">
        <v>14</v>
      </c>
      <c r="O3" s="53" t="s">
        <v>15</v>
      </c>
    </row>
    <row r="4" spans="1:20" ht="45" x14ac:dyDescent="0.25">
      <c r="A4" s="52">
        <v>1</v>
      </c>
      <c r="B4" s="52" t="s">
        <v>277</v>
      </c>
      <c r="C4" s="57" t="s">
        <v>278</v>
      </c>
      <c r="D4" s="57" t="s">
        <v>279</v>
      </c>
      <c r="E4" s="57" t="s">
        <v>278</v>
      </c>
      <c r="F4" s="52" t="s">
        <v>280</v>
      </c>
      <c r="G4" s="58">
        <v>18950</v>
      </c>
      <c r="H4" s="58">
        <v>3885.48</v>
      </c>
      <c r="I4" s="59">
        <v>1347.21</v>
      </c>
      <c r="J4" s="59">
        <v>5232.6899999999996</v>
      </c>
      <c r="K4" s="31">
        <v>100</v>
      </c>
      <c r="L4" s="57" t="s">
        <v>184</v>
      </c>
      <c r="M4" s="57" t="s">
        <v>281</v>
      </c>
      <c r="N4" s="60" t="s">
        <v>282</v>
      </c>
      <c r="O4" s="61" t="s">
        <v>283</v>
      </c>
    </row>
    <row r="5" spans="1:20" ht="30" x14ac:dyDescent="0.25">
      <c r="A5" s="52">
        <v>2</v>
      </c>
      <c r="B5" s="52" t="s">
        <v>284</v>
      </c>
      <c r="C5" s="57" t="s">
        <v>285</v>
      </c>
      <c r="D5" s="57" t="s">
        <v>286</v>
      </c>
      <c r="E5" s="57" t="s">
        <v>285</v>
      </c>
      <c r="F5" s="52" t="s">
        <v>287</v>
      </c>
      <c r="G5" s="58">
        <v>12620</v>
      </c>
      <c r="H5" s="58">
        <v>1660.86</v>
      </c>
      <c r="I5" s="31">
        <v>1225.49</v>
      </c>
      <c r="J5" s="59">
        <v>2886.35</v>
      </c>
      <c r="K5" s="31">
        <v>1</v>
      </c>
      <c r="L5" s="57" t="s">
        <v>288</v>
      </c>
      <c r="M5" s="52" t="s">
        <v>120</v>
      </c>
      <c r="N5" s="60" t="s">
        <v>289</v>
      </c>
      <c r="O5" s="61" t="s">
        <v>283</v>
      </c>
      <c r="T5" s="52"/>
    </row>
    <row r="6" spans="1:20" ht="45" x14ac:dyDescent="0.25">
      <c r="A6" s="52" t="s">
        <v>290</v>
      </c>
      <c r="B6" s="52" t="s">
        <v>291</v>
      </c>
      <c r="C6" s="57" t="s">
        <v>292</v>
      </c>
      <c r="D6" s="57" t="s">
        <v>293</v>
      </c>
      <c r="E6" s="57" t="s">
        <v>292</v>
      </c>
      <c r="F6" s="52" t="s">
        <v>294</v>
      </c>
      <c r="G6" s="58">
        <v>34700</v>
      </c>
      <c r="H6" s="58">
        <v>3916.48</v>
      </c>
      <c r="I6" s="31">
        <v>1312.26</v>
      </c>
      <c r="J6" s="58">
        <v>5228.74</v>
      </c>
      <c r="K6" s="31">
        <v>250</v>
      </c>
      <c r="L6" s="57" t="s">
        <v>295</v>
      </c>
      <c r="M6" s="57" t="s">
        <v>296</v>
      </c>
      <c r="N6" s="60" t="s">
        <v>297</v>
      </c>
      <c r="O6" s="61" t="s">
        <v>283</v>
      </c>
    </row>
    <row r="7" spans="1:20" ht="45" x14ac:dyDescent="0.25">
      <c r="A7" s="52">
        <v>4</v>
      </c>
      <c r="B7" s="52" t="s">
        <v>298</v>
      </c>
      <c r="C7" s="57" t="s">
        <v>299</v>
      </c>
      <c r="D7" s="57" t="s">
        <v>300</v>
      </c>
      <c r="E7" s="57" t="s">
        <v>299</v>
      </c>
      <c r="F7" s="52" t="s">
        <v>301</v>
      </c>
      <c r="G7" s="58">
        <v>1330</v>
      </c>
      <c r="H7" s="58">
        <v>3020.98</v>
      </c>
      <c r="I7" s="31">
        <v>1311.81</v>
      </c>
      <c r="J7" s="58">
        <v>1330</v>
      </c>
      <c r="K7" s="31">
        <v>1</v>
      </c>
      <c r="L7" s="57" t="s">
        <v>302</v>
      </c>
      <c r="M7" s="52" t="s">
        <v>120</v>
      </c>
      <c r="N7" s="60" t="s">
        <v>282</v>
      </c>
      <c r="O7" s="61" t="s">
        <v>283</v>
      </c>
    </row>
    <row r="8" spans="1:20" ht="45" x14ac:dyDescent="0.25">
      <c r="A8" s="52">
        <v>5</v>
      </c>
      <c r="B8" s="52" t="s">
        <v>147</v>
      </c>
      <c r="C8" s="57" t="s">
        <v>303</v>
      </c>
      <c r="D8" s="57" t="s">
        <v>148</v>
      </c>
      <c r="E8" s="57" t="s">
        <v>303</v>
      </c>
      <c r="F8" s="52" t="s">
        <v>150</v>
      </c>
      <c r="G8" s="52">
        <v>11350</v>
      </c>
      <c r="H8" s="57">
        <v>9602.2900000000009</v>
      </c>
      <c r="I8" s="31" t="s">
        <v>304</v>
      </c>
      <c r="J8" s="52" t="s">
        <v>304</v>
      </c>
      <c r="K8" s="31" t="s">
        <v>120</v>
      </c>
      <c r="L8" s="52" t="s">
        <v>120</v>
      </c>
      <c r="M8" s="52" t="s">
        <v>120</v>
      </c>
      <c r="N8" s="60" t="s">
        <v>305</v>
      </c>
      <c r="O8" s="52" t="s">
        <v>304</v>
      </c>
    </row>
    <row r="9" spans="1:20" ht="45" x14ac:dyDescent="0.25">
      <c r="A9" s="52">
        <v>6</v>
      </c>
      <c r="B9" s="52" t="s">
        <v>153</v>
      </c>
      <c r="C9" s="57" t="s">
        <v>306</v>
      </c>
      <c r="D9" s="57" t="s">
        <v>148</v>
      </c>
      <c r="E9" s="57" t="s">
        <v>306</v>
      </c>
      <c r="F9" s="52" t="s">
        <v>150</v>
      </c>
      <c r="G9" s="52">
        <v>16860</v>
      </c>
      <c r="H9" s="57">
        <v>1353.22</v>
      </c>
      <c r="I9" s="31" t="s">
        <v>304</v>
      </c>
      <c r="J9" s="52" t="s">
        <v>304</v>
      </c>
      <c r="K9" s="31" t="s">
        <v>120</v>
      </c>
      <c r="L9" s="52" t="s">
        <v>120</v>
      </c>
      <c r="M9" s="52" t="s">
        <v>120</v>
      </c>
      <c r="N9" s="60" t="s">
        <v>305</v>
      </c>
      <c r="O9" s="52" t="s">
        <v>304</v>
      </c>
    </row>
    <row r="10" spans="1:20" ht="45" x14ac:dyDescent="0.25">
      <c r="A10" s="52">
        <v>7</v>
      </c>
      <c r="B10" s="52" t="s">
        <v>155</v>
      </c>
      <c r="C10" s="57" t="s">
        <v>306</v>
      </c>
      <c r="D10" s="57" t="s">
        <v>148</v>
      </c>
      <c r="E10" s="57" t="s">
        <v>306</v>
      </c>
      <c r="F10" s="52" t="s">
        <v>150</v>
      </c>
      <c r="G10" s="52">
        <v>11240</v>
      </c>
      <c r="H10" s="57">
        <v>902.05</v>
      </c>
      <c r="I10" s="31" t="s">
        <v>304</v>
      </c>
      <c r="J10" s="52" t="s">
        <v>304</v>
      </c>
      <c r="K10" s="31" t="s">
        <v>120</v>
      </c>
      <c r="L10" s="52" t="s">
        <v>120</v>
      </c>
      <c r="M10" s="52" t="s">
        <v>120</v>
      </c>
      <c r="N10" s="60" t="s">
        <v>305</v>
      </c>
      <c r="O10" s="52" t="s">
        <v>304</v>
      </c>
    </row>
    <row r="11" spans="1:20" ht="45" x14ac:dyDescent="0.25">
      <c r="A11" s="52">
        <v>8</v>
      </c>
      <c r="B11" s="52" t="s">
        <v>156</v>
      </c>
      <c r="C11" s="57" t="s">
        <v>306</v>
      </c>
      <c r="D11" s="57" t="s">
        <v>148</v>
      </c>
      <c r="E11" s="57" t="s">
        <v>306</v>
      </c>
      <c r="F11" s="52" t="s">
        <v>150</v>
      </c>
      <c r="G11" s="52">
        <v>11240</v>
      </c>
      <c r="H11" s="57">
        <v>902.05</v>
      </c>
      <c r="I11" s="31" t="s">
        <v>304</v>
      </c>
      <c r="J11" s="52" t="s">
        <v>304</v>
      </c>
      <c r="K11" s="31" t="s">
        <v>120</v>
      </c>
      <c r="L11" s="52" t="s">
        <v>120</v>
      </c>
      <c r="M11" s="52" t="s">
        <v>120</v>
      </c>
      <c r="N11" s="60" t="s">
        <v>305</v>
      </c>
      <c r="O11" s="52" t="s">
        <v>304</v>
      </c>
    </row>
    <row r="12" spans="1:20" ht="45" x14ac:dyDescent="0.25">
      <c r="A12" s="52">
        <v>9</v>
      </c>
      <c r="B12" s="52" t="s">
        <v>157</v>
      </c>
      <c r="C12" s="57" t="s">
        <v>306</v>
      </c>
      <c r="D12" s="57" t="s">
        <v>148</v>
      </c>
      <c r="E12" s="57" t="s">
        <v>306</v>
      </c>
      <c r="F12" s="52" t="s">
        <v>150</v>
      </c>
      <c r="G12" s="52">
        <v>14640</v>
      </c>
      <c r="H12" s="57">
        <v>1174.81</v>
      </c>
      <c r="I12" s="31" t="s">
        <v>304</v>
      </c>
      <c r="J12" s="52" t="s">
        <v>304</v>
      </c>
      <c r="K12" s="31" t="s">
        <v>120</v>
      </c>
      <c r="L12" s="52" t="s">
        <v>120</v>
      </c>
      <c r="M12" s="52" t="s">
        <v>120</v>
      </c>
      <c r="N12" s="60" t="s">
        <v>305</v>
      </c>
      <c r="O12" s="52" t="s">
        <v>304</v>
      </c>
    </row>
    <row r="13" spans="1:20" ht="45" x14ac:dyDescent="0.25">
      <c r="A13" s="52">
        <v>10</v>
      </c>
      <c r="B13" s="52" t="s">
        <v>158</v>
      </c>
      <c r="C13" s="57" t="s">
        <v>306</v>
      </c>
      <c r="D13" s="57" t="s">
        <v>148</v>
      </c>
      <c r="E13" s="57" t="s">
        <v>306</v>
      </c>
      <c r="F13" s="52" t="s">
        <v>150</v>
      </c>
      <c r="G13" s="52">
        <v>14830</v>
      </c>
      <c r="H13" s="57">
        <v>1189.48</v>
      </c>
      <c r="I13" s="31" t="s">
        <v>304</v>
      </c>
      <c r="J13" s="52" t="s">
        <v>304</v>
      </c>
      <c r="K13" s="31" t="s">
        <v>120</v>
      </c>
      <c r="L13" s="52" t="s">
        <v>120</v>
      </c>
      <c r="M13" s="52" t="s">
        <v>120</v>
      </c>
      <c r="N13" s="60" t="s">
        <v>305</v>
      </c>
      <c r="O13" s="52" t="s">
        <v>304</v>
      </c>
    </row>
    <row r="14" spans="1:20" ht="45" x14ac:dyDescent="0.25">
      <c r="A14" s="52">
        <v>11</v>
      </c>
      <c r="B14" s="52" t="s">
        <v>160</v>
      </c>
      <c r="C14" s="57" t="s">
        <v>306</v>
      </c>
      <c r="D14" s="57" t="s">
        <v>148</v>
      </c>
      <c r="E14" s="57" t="s">
        <v>306</v>
      </c>
      <c r="F14" s="52" t="s">
        <v>150</v>
      </c>
      <c r="G14" s="52">
        <v>13850</v>
      </c>
      <c r="H14" s="57">
        <v>1112.55</v>
      </c>
      <c r="I14" s="31" t="s">
        <v>304</v>
      </c>
      <c r="J14" s="52" t="s">
        <v>304</v>
      </c>
      <c r="K14" s="31" t="s">
        <v>120</v>
      </c>
      <c r="L14" s="52" t="s">
        <v>120</v>
      </c>
      <c r="M14" s="52" t="s">
        <v>120</v>
      </c>
      <c r="N14" s="60" t="s">
        <v>305</v>
      </c>
      <c r="O14" s="52" t="s">
        <v>304</v>
      </c>
    </row>
    <row r="15" spans="1:20" ht="45" x14ac:dyDescent="0.25">
      <c r="A15" s="52">
        <v>12</v>
      </c>
      <c r="B15" s="52" t="s">
        <v>162</v>
      </c>
      <c r="C15" s="57" t="s">
        <v>306</v>
      </c>
      <c r="D15" s="57" t="s">
        <v>148</v>
      </c>
      <c r="E15" s="57" t="s">
        <v>306</v>
      </c>
      <c r="F15" s="52" t="s">
        <v>150</v>
      </c>
      <c r="G15" s="52">
        <v>12870</v>
      </c>
      <c r="H15" s="57">
        <v>1032.3599999999999</v>
      </c>
      <c r="I15" s="31" t="s">
        <v>304</v>
      </c>
      <c r="J15" s="52" t="s">
        <v>304</v>
      </c>
      <c r="K15" s="31" t="s">
        <v>120</v>
      </c>
      <c r="L15" s="52" t="s">
        <v>120</v>
      </c>
      <c r="M15" s="52" t="s">
        <v>120</v>
      </c>
      <c r="N15" s="60" t="s">
        <v>305</v>
      </c>
      <c r="O15" s="52" t="s">
        <v>304</v>
      </c>
    </row>
    <row r="16" spans="1:20" ht="45" x14ac:dyDescent="0.25">
      <c r="A16" s="52">
        <v>13</v>
      </c>
      <c r="B16" s="52" t="s">
        <v>163</v>
      </c>
      <c r="C16" s="57" t="s">
        <v>306</v>
      </c>
      <c r="D16" s="57" t="s">
        <v>148</v>
      </c>
      <c r="E16" s="57" t="s">
        <v>306</v>
      </c>
      <c r="F16" s="52" t="s">
        <v>150</v>
      </c>
      <c r="G16" s="52">
        <v>12550</v>
      </c>
      <c r="H16" s="57">
        <v>1022.88</v>
      </c>
      <c r="I16" s="31" t="s">
        <v>304</v>
      </c>
      <c r="J16" s="52" t="s">
        <v>304</v>
      </c>
      <c r="K16" s="31" t="s">
        <v>120</v>
      </c>
      <c r="L16" s="52" t="s">
        <v>120</v>
      </c>
      <c r="M16" s="52" t="s">
        <v>120</v>
      </c>
      <c r="N16" s="60" t="s">
        <v>305</v>
      </c>
      <c r="O16" s="52" t="s">
        <v>304</v>
      </c>
    </row>
    <row r="17" spans="1:15" ht="45" x14ac:dyDescent="0.25">
      <c r="A17" s="52">
        <v>14</v>
      </c>
      <c r="B17" s="52" t="s">
        <v>164</v>
      </c>
      <c r="C17" s="57" t="s">
        <v>306</v>
      </c>
      <c r="D17" s="57" t="s">
        <v>148</v>
      </c>
      <c r="E17" s="57" t="s">
        <v>306</v>
      </c>
      <c r="F17" s="52" t="s">
        <v>150</v>
      </c>
      <c r="G17" s="52">
        <v>5290</v>
      </c>
      <c r="H17" s="57">
        <v>424.42</v>
      </c>
      <c r="I17" s="31" t="s">
        <v>304</v>
      </c>
      <c r="J17" s="52" t="s">
        <v>304</v>
      </c>
      <c r="K17" s="31" t="s">
        <v>120</v>
      </c>
      <c r="L17" s="52" t="s">
        <v>120</v>
      </c>
      <c r="M17" s="52" t="s">
        <v>120</v>
      </c>
      <c r="N17" s="60" t="s">
        <v>305</v>
      </c>
      <c r="O17" s="52" t="s">
        <v>304</v>
      </c>
    </row>
    <row r="18" spans="1:15" ht="45" x14ac:dyDescent="0.25">
      <c r="A18" s="52">
        <v>15</v>
      </c>
      <c r="B18" s="52" t="s">
        <v>165</v>
      </c>
      <c r="C18" s="57" t="s">
        <v>306</v>
      </c>
      <c r="D18" s="57" t="s">
        <v>148</v>
      </c>
      <c r="E18" s="57" t="s">
        <v>306</v>
      </c>
      <c r="F18" s="52" t="s">
        <v>150</v>
      </c>
      <c r="G18" s="52">
        <v>14830</v>
      </c>
      <c r="H18" s="57">
        <v>1217.6600000000001</v>
      </c>
      <c r="I18" s="31" t="s">
        <v>304</v>
      </c>
      <c r="J18" s="52" t="s">
        <v>304</v>
      </c>
      <c r="K18" s="31" t="s">
        <v>120</v>
      </c>
      <c r="L18" s="52" t="s">
        <v>120</v>
      </c>
      <c r="M18" s="52" t="s">
        <v>120</v>
      </c>
      <c r="N18" s="60" t="s">
        <v>305</v>
      </c>
      <c r="O18" s="52" t="s">
        <v>304</v>
      </c>
    </row>
    <row r="19" spans="1:15" ht="45" x14ac:dyDescent="0.25">
      <c r="A19" s="52">
        <v>16</v>
      </c>
      <c r="B19" s="52" t="s">
        <v>166</v>
      </c>
      <c r="C19" s="57" t="s">
        <v>306</v>
      </c>
      <c r="D19" s="57" t="s">
        <v>148</v>
      </c>
      <c r="E19" s="57" t="s">
        <v>306</v>
      </c>
      <c r="F19" s="52" t="s">
        <v>150</v>
      </c>
      <c r="G19" s="52">
        <v>6140</v>
      </c>
      <c r="H19" s="57">
        <v>493.7</v>
      </c>
      <c r="I19" s="31" t="s">
        <v>304</v>
      </c>
      <c r="J19" s="52" t="s">
        <v>304</v>
      </c>
      <c r="K19" s="31" t="s">
        <v>120</v>
      </c>
      <c r="L19" s="52" t="s">
        <v>120</v>
      </c>
      <c r="M19" s="52" t="s">
        <v>120</v>
      </c>
      <c r="N19" s="60" t="s">
        <v>305</v>
      </c>
      <c r="O19" s="52" t="s">
        <v>304</v>
      </c>
    </row>
    <row r="20" spans="1:15" ht="30" x14ac:dyDescent="0.25">
      <c r="A20" s="52">
        <v>17</v>
      </c>
      <c r="B20" s="52" t="s">
        <v>307</v>
      </c>
      <c r="C20" s="57" t="s">
        <v>308</v>
      </c>
      <c r="D20" s="57" t="s">
        <v>309</v>
      </c>
      <c r="E20" s="57" t="s">
        <v>308</v>
      </c>
      <c r="F20" s="52" t="s">
        <v>310</v>
      </c>
      <c r="G20" s="52">
        <v>25240</v>
      </c>
      <c r="H20" s="57">
        <v>1656.16</v>
      </c>
      <c r="I20" s="31">
        <v>4158.37</v>
      </c>
      <c r="J20" s="52">
        <v>5814.53</v>
      </c>
      <c r="K20" s="31">
        <v>100</v>
      </c>
      <c r="L20" s="57" t="s">
        <v>184</v>
      </c>
      <c r="M20" s="57" t="s">
        <v>311</v>
      </c>
      <c r="N20" s="60" t="s">
        <v>289</v>
      </c>
      <c r="O20" s="61" t="s">
        <v>283</v>
      </c>
    </row>
    <row r="21" spans="1:15" ht="45" x14ac:dyDescent="0.25">
      <c r="A21" s="52">
        <v>18</v>
      </c>
      <c r="B21" s="52" t="s">
        <v>312</v>
      </c>
      <c r="C21" s="57" t="s">
        <v>313</v>
      </c>
      <c r="D21" s="57" t="s">
        <v>314</v>
      </c>
      <c r="E21" s="57" t="s">
        <v>313</v>
      </c>
      <c r="F21" s="52" t="s">
        <v>315</v>
      </c>
      <c r="G21" s="52">
        <v>37790</v>
      </c>
      <c r="H21" s="57">
        <v>2885.17</v>
      </c>
      <c r="I21" s="31">
        <v>4799.2700000000004</v>
      </c>
      <c r="J21" s="52">
        <v>7684.44</v>
      </c>
      <c r="K21" s="31">
        <v>200</v>
      </c>
      <c r="L21" s="57" t="s">
        <v>434</v>
      </c>
      <c r="M21" s="57" t="s">
        <v>281</v>
      </c>
      <c r="N21" s="60" t="s">
        <v>289</v>
      </c>
      <c r="O21" s="61" t="s">
        <v>283</v>
      </c>
    </row>
    <row r="22" spans="1:15" ht="30" x14ac:dyDescent="0.25">
      <c r="A22" s="52">
        <v>19</v>
      </c>
      <c r="B22" s="52" t="s">
        <v>316</v>
      </c>
      <c r="C22" s="57" t="s">
        <v>317</v>
      </c>
      <c r="D22" s="57" t="s">
        <v>318</v>
      </c>
      <c r="E22" s="57" t="s">
        <v>317</v>
      </c>
      <c r="F22" s="52" t="s">
        <v>319</v>
      </c>
      <c r="G22" s="52">
        <v>27750</v>
      </c>
      <c r="H22" s="57">
        <v>7970.2</v>
      </c>
      <c r="I22" s="31">
        <v>3549.37</v>
      </c>
      <c r="J22" s="52">
        <v>11519.57</v>
      </c>
      <c r="K22" s="31">
        <v>125</v>
      </c>
      <c r="L22" s="57" t="s">
        <v>435</v>
      </c>
      <c r="M22" s="52" t="s">
        <v>120</v>
      </c>
      <c r="N22" s="60" t="s">
        <v>289</v>
      </c>
      <c r="O22" s="61" t="s">
        <v>283</v>
      </c>
    </row>
    <row r="23" spans="1:15" ht="30" x14ac:dyDescent="0.25">
      <c r="A23" s="52">
        <v>20</v>
      </c>
      <c r="B23" s="52" t="s">
        <v>320</v>
      </c>
      <c r="C23" s="57" t="s">
        <v>321</v>
      </c>
      <c r="D23" s="57" t="s">
        <v>322</v>
      </c>
      <c r="E23" s="57" t="s">
        <v>321</v>
      </c>
      <c r="F23" s="52" t="s">
        <v>323</v>
      </c>
      <c r="G23" s="52">
        <v>1880</v>
      </c>
      <c r="H23" s="57">
        <v>123.21</v>
      </c>
      <c r="I23" s="31">
        <v>737.45</v>
      </c>
      <c r="J23" s="52">
        <v>860.66</v>
      </c>
      <c r="K23" s="31">
        <v>110</v>
      </c>
      <c r="L23" s="57" t="s">
        <v>324</v>
      </c>
      <c r="M23" s="57" t="s">
        <v>281</v>
      </c>
      <c r="N23" s="60" t="s">
        <v>289</v>
      </c>
      <c r="O23" s="61" t="s">
        <v>283</v>
      </c>
    </row>
    <row r="24" spans="1:15" ht="30" x14ac:dyDescent="0.25">
      <c r="A24" s="52">
        <v>21</v>
      </c>
      <c r="B24" s="52" t="s">
        <v>325</v>
      </c>
      <c r="C24" s="57" t="s">
        <v>321</v>
      </c>
      <c r="D24" s="57" t="s">
        <v>322</v>
      </c>
      <c r="E24" s="57" t="s">
        <v>321</v>
      </c>
      <c r="F24" s="52" t="s">
        <v>323</v>
      </c>
      <c r="G24" s="52">
        <v>1900</v>
      </c>
      <c r="H24" s="57">
        <v>124.85</v>
      </c>
      <c r="I24" s="31">
        <v>737.44</v>
      </c>
      <c r="J24" s="52">
        <v>862.29</v>
      </c>
      <c r="K24" s="31">
        <v>110</v>
      </c>
      <c r="L24" s="57" t="s">
        <v>324</v>
      </c>
      <c r="M24" s="57" t="s">
        <v>281</v>
      </c>
      <c r="N24" s="60" t="s">
        <v>289</v>
      </c>
      <c r="O24" s="61" t="s">
        <v>283</v>
      </c>
    </row>
    <row r="25" spans="1:15" ht="30" x14ac:dyDescent="0.25">
      <c r="A25" s="52">
        <v>22</v>
      </c>
      <c r="B25" s="52" t="s">
        <v>326</v>
      </c>
      <c r="C25" s="57" t="s">
        <v>321</v>
      </c>
      <c r="D25" s="57" t="s">
        <v>322</v>
      </c>
      <c r="E25" s="57" t="s">
        <v>321</v>
      </c>
      <c r="F25" s="52" t="s">
        <v>323</v>
      </c>
      <c r="G25" s="52">
        <v>1900</v>
      </c>
      <c r="H25" s="57">
        <v>124.85</v>
      </c>
      <c r="I25" s="31">
        <v>737.44</v>
      </c>
      <c r="J25" s="52">
        <v>862.29</v>
      </c>
      <c r="K25" s="31">
        <v>110</v>
      </c>
      <c r="L25" s="57" t="s">
        <v>324</v>
      </c>
      <c r="M25" s="57" t="s">
        <v>281</v>
      </c>
      <c r="N25" s="60" t="s">
        <v>289</v>
      </c>
      <c r="O25" s="61" t="s">
        <v>283</v>
      </c>
    </row>
    <row r="26" spans="1:15" ht="30" x14ac:dyDescent="0.25">
      <c r="A26" s="52">
        <v>23</v>
      </c>
      <c r="B26" s="52" t="s">
        <v>327</v>
      </c>
      <c r="C26" s="57" t="s">
        <v>321</v>
      </c>
      <c r="D26" s="57" t="s">
        <v>322</v>
      </c>
      <c r="E26" s="57" t="s">
        <v>321</v>
      </c>
      <c r="F26" s="52" t="s">
        <v>323</v>
      </c>
      <c r="G26" s="52">
        <v>1910</v>
      </c>
      <c r="H26" s="57">
        <v>125.13</v>
      </c>
      <c r="I26" s="31">
        <v>737.44</v>
      </c>
      <c r="J26" s="52">
        <v>862.57</v>
      </c>
      <c r="K26" s="31">
        <v>110</v>
      </c>
      <c r="L26" s="57" t="s">
        <v>324</v>
      </c>
      <c r="M26" s="57" t="s">
        <v>281</v>
      </c>
      <c r="N26" s="60" t="s">
        <v>289</v>
      </c>
      <c r="O26" s="61" t="s">
        <v>283</v>
      </c>
    </row>
    <row r="27" spans="1:15" ht="30" x14ac:dyDescent="0.25">
      <c r="A27" s="52">
        <v>24</v>
      </c>
      <c r="B27" s="52" t="s">
        <v>328</v>
      </c>
      <c r="C27" s="57" t="s">
        <v>321</v>
      </c>
      <c r="D27" s="57" t="s">
        <v>322</v>
      </c>
      <c r="E27" s="57" t="s">
        <v>321</v>
      </c>
      <c r="F27" s="52" t="s">
        <v>323</v>
      </c>
      <c r="G27" s="52">
        <v>6410</v>
      </c>
      <c r="H27" s="57">
        <v>468.73</v>
      </c>
      <c r="I27" s="31">
        <v>737.47</v>
      </c>
      <c r="J27" s="31">
        <v>1206.2</v>
      </c>
      <c r="K27" s="31">
        <v>225</v>
      </c>
      <c r="L27" s="57" t="s">
        <v>324</v>
      </c>
      <c r="M27" s="52" t="s">
        <v>120</v>
      </c>
      <c r="N27" s="60" t="s">
        <v>289</v>
      </c>
      <c r="O27" s="61" t="s">
        <v>283</v>
      </c>
    </row>
    <row r="28" spans="1:15" ht="30" x14ac:dyDescent="0.25">
      <c r="A28" s="52">
        <v>25</v>
      </c>
      <c r="B28" s="52" t="s">
        <v>329</v>
      </c>
      <c r="C28" s="57" t="s">
        <v>321</v>
      </c>
      <c r="D28" s="57" t="s">
        <v>322</v>
      </c>
      <c r="E28" s="57" t="s">
        <v>321</v>
      </c>
      <c r="F28" s="52" t="s">
        <v>323</v>
      </c>
      <c r="G28" s="52">
        <v>7570</v>
      </c>
      <c r="H28" s="57">
        <v>495.33</v>
      </c>
      <c r="I28" s="31">
        <v>737.45</v>
      </c>
      <c r="J28" s="52">
        <v>1232.78</v>
      </c>
      <c r="K28" s="31">
        <v>150</v>
      </c>
      <c r="L28" s="57" t="s">
        <v>324</v>
      </c>
      <c r="M28" s="52" t="s">
        <v>120</v>
      </c>
      <c r="N28" s="60" t="s">
        <v>289</v>
      </c>
      <c r="O28" s="61" t="s">
        <v>283</v>
      </c>
    </row>
    <row r="29" spans="1:15" ht="30" x14ac:dyDescent="0.25">
      <c r="A29" s="52">
        <v>26</v>
      </c>
      <c r="B29" s="52" t="s">
        <v>330</v>
      </c>
      <c r="C29" s="57" t="s">
        <v>321</v>
      </c>
      <c r="D29" s="57" t="s">
        <v>322</v>
      </c>
      <c r="E29" s="57" t="s">
        <v>321</v>
      </c>
      <c r="F29" s="52" t="s">
        <v>323</v>
      </c>
      <c r="G29" s="52">
        <v>3440</v>
      </c>
      <c r="H29" s="57">
        <v>224.05</v>
      </c>
      <c r="I29" s="31">
        <v>737.44</v>
      </c>
      <c r="J29" s="52">
        <v>961.49</v>
      </c>
      <c r="K29" s="31">
        <v>150</v>
      </c>
      <c r="L29" s="57" t="s">
        <v>324</v>
      </c>
      <c r="M29" s="52" t="s">
        <v>120</v>
      </c>
      <c r="N29" s="60" t="s">
        <v>289</v>
      </c>
      <c r="O29" s="61" t="s">
        <v>283</v>
      </c>
    </row>
    <row r="30" spans="1:15" ht="30" x14ac:dyDescent="0.25">
      <c r="A30" s="52">
        <v>27</v>
      </c>
      <c r="B30" s="52" t="s">
        <v>331</v>
      </c>
      <c r="C30" s="57" t="s">
        <v>321</v>
      </c>
      <c r="D30" s="57" t="s">
        <v>322</v>
      </c>
      <c r="E30" s="57" t="s">
        <v>321</v>
      </c>
      <c r="F30" s="52" t="s">
        <v>323</v>
      </c>
      <c r="G30" s="52">
        <v>3410</v>
      </c>
      <c r="H30" s="57">
        <v>222.32</v>
      </c>
      <c r="I30" s="31">
        <v>737.44</v>
      </c>
      <c r="J30" s="52">
        <v>959.76</v>
      </c>
      <c r="K30" s="31">
        <v>150</v>
      </c>
      <c r="L30" s="57" t="s">
        <v>324</v>
      </c>
      <c r="M30" s="52" t="s">
        <v>120</v>
      </c>
      <c r="N30" s="60" t="s">
        <v>289</v>
      </c>
      <c r="O30" s="61" t="s">
        <v>283</v>
      </c>
    </row>
    <row r="31" spans="1:15" ht="30" x14ac:dyDescent="0.25">
      <c r="A31" s="52">
        <v>28</v>
      </c>
      <c r="B31" s="52" t="s">
        <v>332</v>
      </c>
      <c r="C31" s="57" t="s">
        <v>321</v>
      </c>
      <c r="D31" s="57" t="s">
        <v>322</v>
      </c>
      <c r="E31" s="57" t="s">
        <v>321</v>
      </c>
      <c r="F31" s="52" t="s">
        <v>323</v>
      </c>
      <c r="G31" s="52">
        <v>1910</v>
      </c>
      <c r="H31" s="57">
        <v>125.13</v>
      </c>
      <c r="I31" s="31">
        <v>737.44</v>
      </c>
      <c r="J31" s="52">
        <v>862.57</v>
      </c>
      <c r="K31" s="31">
        <v>135</v>
      </c>
      <c r="L31" s="57" t="s">
        <v>324</v>
      </c>
      <c r="M31" s="57" t="s">
        <v>281</v>
      </c>
      <c r="N31" s="60" t="s">
        <v>289</v>
      </c>
      <c r="O31" s="61" t="s">
        <v>283</v>
      </c>
    </row>
    <row r="32" spans="1:15" ht="30" x14ac:dyDescent="0.25">
      <c r="A32" s="52">
        <v>29</v>
      </c>
      <c r="B32" s="52" t="s">
        <v>333</v>
      </c>
      <c r="C32" s="57" t="s">
        <v>321</v>
      </c>
      <c r="D32" s="57" t="s">
        <v>322</v>
      </c>
      <c r="E32" s="57" t="s">
        <v>321</v>
      </c>
      <c r="F32" s="52" t="s">
        <v>323</v>
      </c>
      <c r="G32" s="52">
        <v>3410</v>
      </c>
      <c r="H32" s="57">
        <v>222.32</v>
      </c>
      <c r="I32" s="31">
        <v>737.44</v>
      </c>
      <c r="J32" s="52">
        <v>959.76</v>
      </c>
      <c r="K32" s="31">
        <v>150</v>
      </c>
      <c r="L32" s="57" t="s">
        <v>324</v>
      </c>
      <c r="M32" s="52" t="s">
        <v>120</v>
      </c>
      <c r="N32" s="60" t="s">
        <v>289</v>
      </c>
      <c r="O32" s="61" t="s">
        <v>283</v>
      </c>
    </row>
    <row r="33" spans="1:24" ht="47.25" customHeight="1" x14ac:dyDescent="0.25">
      <c r="A33" s="52">
        <v>30</v>
      </c>
      <c r="B33" s="52" t="s">
        <v>334</v>
      </c>
      <c r="C33" s="57" t="s">
        <v>321</v>
      </c>
      <c r="D33" s="57" t="s">
        <v>322</v>
      </c>
      <c r="E33" s="57" t="s">
        <v>321</v>
      </c>
      <c r="F33" s="52" t="s">
        <v>323</v>
      </c>
      <c r="G33" s="52">
        <v>1900</v>
      </c>
      <c r="H33" s="57">
        <v>117.99</v>
      </c>
      <c r="I33" s="31">
        <v>737.44</v>
      </c>
      <c r="J33" s="52">
        <v>855.43</v>
      </c>
      <c r="K33" s="31">
        <v>150</v>
      </c>
      <c r="L33" s="57" t="s">
        <v>324</v>
      </c>
      <c r="M33" s="52" t="s">
        <v>120</v>
      </c>
      <c r="N33" s="60" t="s">
        <v>289</v>
      </c>
      <c r="O33" s="61" t="s">
        <v>283</v>
      </c>
    </row>
    <row r="34" spans="1:24" ht="47.25" customHeight="1" x14ac:dyDescent="0.25">
      <c r="A34" s="52">
        <v>31</v>
      </c>
      <c r="B34" s="52" t="s">
        <v>167</v>
      </c>
      <c r="C34" s="57" t="s">
        <v>335</v>
      </c>
      <c r="D34" s="57" t="s">
        <v>168</v>
      </c>
      <c r="E34" s="57" t="s">
        <v>335</v>
      </c>
      <c r="F34" s="52" t="s">
        <v>170</v>
      </c>
      <c r="G34" s="52">
        <v>3520</v>
      </c>
      <c r="H34" s="52">
        <v>1743.56</v>
      </c>
      <c r="I34" s="31">
        <v>3918.25</v>
      </c>
      <c r="J34" s="52">
        <v>3520</v>
      </c>
      <c r="K34" s="31">
        <v>1</v>
      </c>
      <c r="L34" s="52" t="s">
        <v>120</v>
      </c>
      <c r="M34" s="52" t="s">
        <v>120</v>
      </c>
      <c r="N34" s="60" t="s">
        <v>289</v>
      </c>
      <c r="O34" s="61" t="s">
        <v>283</v>
      </c>
    </row>
    <row r="35" spans="1:24" ht="47.25" customHeight="1" x14ac:dyDescent="0.25">
      <c r="A35" s="52">
        <v>32</v>
      </c>
      <c r="B35" s="52" t="s">
        <v>336</v>
      </c>
      <c r="C35" s="57" t="s">
        <v>337</v>
      </c>
      <c r="D35" s="57" t="s">
        <v>338</v>
      </c>
      <c r="E35" s="57" t="s">
        <v>337</v>
      </c>
      <c r="F35" s="52" t="s">
        <v>339</v>
      </c>
      <c r="G35" s="52">
        <v>7800</v>
      </c>
      <c r="H35" s="52">
        <v>554.69000000000005</v>
      </c>
      <c r="I35" s="31">
        <v>4212.66</v>
      </c>
      <c r="J35" s="52">
        <v>4767.3500000000004</v>
      </c>
      <c r="K35" s="31">
        <v>8500</v>
      </c>
      <c r="L35" s="57" t="s">
        <v>340</v>
      </c>
      <c r="M35" s="57" t="s">
        <v>436</v>
      </c>
      <c r="N35" s="60" t="s">
        <v>289</v>
      </c>
      <c r="O35" s="61" t="s">
        <v>283</v>
      </c>
    </row>
    <row r="36" spans="1:24" ht="47.25" customHeight="1" x14ac:dyDescent="0.25">
      <c r="A36" s="52">
        <v>33</v>
      </c>
      <c r="B36" s="52" t="s">
        <v>341</v>
      </c>
      <c r="C36" s="57" t="s">
        <v>342</v>
      </c>
      <c r="D36" s="57" t="s">
        <v>343</v>
      </c>
      <c r="E36" s="57" t="s">
        <v>342</v>
      </c>
      <c r="F36" s="52" t="s">
        <v>344</v>
      </c>
      <c r="G36" s="52">
        <v>3000</v>
      </c>
      <c r="H36" s="52">
        <v>216.85</v>
      </c>
      <c r="I36" s="31">
        <v>3039.24</v>
      </c>
      <c r="J36" s="52">
        <v>3000</v>
      </c>
      <c r="K36" s="31">
        <v>300</v>
      </c>
      <c r="L36" s="57" t="s">
        <v>440</v>
      </c>
      <c r="M36" s="57" t="s">
        <v>281</v>
      </c>
      <c r="N36" s="60" t="s">
        <v>289</v>
      </c>
      <c r="O36" s="61" t="s">
        <v>283</v>
      </c>
    </row>
    <row r="37" spans="1:24" ht="47.25" customHeight="1" x14ac:dyDescent="0.25">
      <c r="A37" s="52">
        <v>34</v>
      </c>
      <c r="B37" s="52" t="s">
        <v>345</v>
      </c>
      <c r="C37" s="57" t="s">
        <v>346</v>
      </c>
      <c r="D37" s="57" t="s">
        <v>347</v>
      </c>
      <c r="E37" s="57" t="s">
        <v>346</v>
      </c>
      <c r="F37" s="52" t="s">
        <v>348</v>
      </c>
      <c r="G37" s="52">
        <v>8600</v>
      </c>
      <c r="H37" s="52">
        <v>2422.77</v>
      </c>
      <c r="I37" s="31">
        <v>5310.51</v>
      </c>
      <c r="J37" s="52">
        <v>7733.28</v>
      </c>
      <c r="K37" s="31">
        <v>505</v>
      </c>
      <c r="L37" s="57" t="s">
        <v>439</v>
      </c>
      <c r="M37" s="52" t="s">
        <v>120</v>
      </c>
      <c r="N37" s="60" t="s">
        <v>289</v>
      </c>
      <c r="O37" s="61" t="s">
        <v>283</v>
      </c>
    </row>
    <row r="38" spans="1:24" ht="47.25" customHeight="1" x14ac:dyDescent="0.25">
      <c r="A38" s="52">
        <v>35</v>
      </c>
      <c r="B38" s="52" t="s">
        <v>349</v>
      </c>
      <c r="C38" s="57" t="s">
        <v>350</v>
      </c>
      <c r="D38" s="57" t="s">
        <v>351</v>
      </c>
      <c r="E38" s="57" t="s">
        <v>350</v>
      </c>
      <c r="F38" s="52" t="s">
        <v>352</v>
      </c>
      <c r="G38" s="52">
        <v>300</v>
      </c>
      <c r="H38" s="52">
        <v>24.67</v>
      </c>
      <c r="I38" s="31">
        <v>970.13</v>
      </c>
      <c r="J38" s="52">
        <v>300</v>
      </c>
      <c r="K38" s="31">
        <v>2400</v>
      </c>
      <c r="L38" s="57" t="s">
        <v>438</v>
      </c>
      <c r="M38" s="57" t="s">
        <v>436</v>
      </c>
      <c r="N38" s="60" t="s">
        <v>289</v>
      </c>
      <c r="O38" s="61" t="s">
        <v>283</v>
      </c>
    </row>
    <row r="39" spans="1:24" ht="47.25" customHeight="1" x14ac:dyDescent="0.25">
      <c r="A39" s="52">
        <v>36</v>
      </c>
      <c r="B39" s="52" t="s">
        <v>353</v>
      </c>
      <c r="C39" s="57" t="s">
        <v>354</v>
      </c>
      <c r="D39" s="57" t="s">
        <v>351</v>
      </c>
      <c r="E39" s="57" t="s">
        <v>354</v>
      </c>
      <c r="F39" s="52" t="s">
        <v>352</v>
      </c>
      <c r="G39" s="52">
        <v>8430</v>
      </c>
      <c r="H39" s="52">
        <v>1448.63</v>
      </c>
      <c r="I39" s="31">
        <v>970.13</v>
      </c>
      <c r="J39" s="52">
        <v>2418.7600000000002</v>
      </c>
      <c r="K39" s="62">
        <v>2500</v>
      </c>
      <c r="L39" s="57" t="s">
        <v>436</v>
      </c>
      <c r="M39" s="52" t="s">
        <v>120</v>
      </c>
      <c r="N39" s="60" t="s">
        <v>289</v>
      </c>
      <c r="O39" s="61" t="s">
        <v>283</v>
      </c>
    </row>
    <row r="40" spans="1:24" ht="47.25" customHeight="1" x14ac:dyDescent="0.25">
      <c r="A40" s="52">
        <v>37</v>
      </c>
      <c r="B40" s="52" t="s">
        <v>355</v>
      </c>
      <c r="C40" s="57" t="s">
        <v>356</v>
      </c>
      <c r="D40" s="57" t="s">
        <v>351</v>
      </c>
      <c r="E40" s="57" t="s">
        <v>356</v>
      </c>
      <c r="F40" s="52" t="s">
        <v>352</v>
      </c>
      <c r="G40" s="52">
        <v>8100</v>
      </c>
      <c r="H40" s="52">
        <v>1258.7</v>
      </c>
      <c r="I40" s="31">
        <v>970.13</v>
      </c>
      <c r="J40" s="52">
        <v>2228.83</v>
      </c>
      <c r="K40" s="62">
        <v>2228.83</v>
      </c>
      <c r="L40" s="57" t="s">
        <v>438</v>
      </c>
      <c r="M40" s="52" t="s">
        <v>120</v>
      </c>
      <c r="N40" s="60" t="s">
        <v>289</v>
      </c>
      <c r="O40" s="61" t="s">
        <v>283</v>
      </c>
    </row>
    <row r="41" spans="1:24" ht="47.25" customHeight="1" x14ac:dyDescent="0.25">
      <c r="A41" s="52">
        <v>38</v>
      </c>
      <c r="B41" s="52" t="s">
        <v>357</v>
      </c>
      <c r="C41" s="57" t="s">
        <v>356</v>
      </c>
      <c r="D41" s="57" t="s">
        <v>351</v>
      </c>
      <c r="E41" s="57" t="s">
        <v>356</v>
      </c>
      <c r="F41" s="52" t="s">
        <v>352</v>
      </c>
      <c r="G41" s="52">
        <v>130</v>
      </c>
      <c r="H41" s="52">
        <v>10.32</v>
      </c>
      <c r="I41" s="31">
        <v>970.12</v>
      </c>
      <c r="J41" s="52">
        <v>130</v>
      </c>
      <c r="K41" s="62">
        <v>1500</v>
      </c>
      <c r="L41" s="57" t="s">
        <v>438</v>
      </c>
      <c r="M41" s="57" t="s">
        <v>436</v>
      </c>
      <c r="N41" s="60" t="s">
        <v>289</v>
      </c>
      <c r="O41" s="61" t="s">
        <v>283</v>
      </c>
    </row>
    <row r="42" spans="1:24" ht="47.25" customHeight="1" x14ac:dyDescent="0.25">
      <c r="A42" s="52">
        <v>39</v>
      </c>
      <c r="B42" s="52" t="s">
        <v>358</v>
      </c>
      <c r="C42" s="57" t="s">
        <v>356</v>
      </c>
      <c r="D42" s="57" t="s">
        <v>351</v>
      </c>
      <c r="E42" s="57" t="s">
        <v>356</v>
      </c>
      <c r="F42" s="52" t="s">
        <v>352</v>
      </c>
      <c r="G42" s="52">
        <v>130</v>
      </c>
      <c r="H42" s="52">
        <v>10.32</v>
      </c>
      <c r="I42" s="31">
        <v>970.1</v>
      </c>
      <c r="J42" s="52">
        <v>130</v>
      </c>
      <c r="K42" s="31">
        <v>1500</v>
      </c>
      <c r="L42" s="57" t="s">
        <v>438</v>
      </c>
      <c r="M42" s="57" t="s">
        <v>436</v>
      </c>
      <c r="N42" s="60" t="s">
        <v>289</v>
      </c>
      <c r="O42" s="61" t="s">
        <v>283</v>
      </c>
      <c r="P42" s="52"/>
      <c r="Q42" s="52"/>
      <c r="R42" s="52"/>
      <c r="S42" s="52"/>
      <c r="T42" s="52"/>
      <c r="U42" s="52"/>
      <c r="V42" s="52"/>
      <c r="W42" s="52"/>
      <c r="X42" s="52"/>
    </row>
    <row r="43" spans="1:24" ht="47.25" customHeight="1" x14ac:dyDescent="0.25">
      <c r="A43" s="52">
        <v>40</v>
      </c>
      <c r="B43" s="52" t="s">
        <v>359</v>
      </c>
      <c r="C43" s="57" t="s">
        <v>360</v>
      </c>
      <c r="D43" s="57" t="s">
        <v>361</v>
      </c>
      <c r="E43" s="57" t="s">
        <v>360</v>
      </c>
      <c r="F43" s="52" t="s">
        <v>362</v>
      </c>
      <c r="G43" s="52">
        <v>14850</v>
      </c>
      <c r="H43" s="52">
        <v>1438.72</v>
      </c>
      <c r="I43" s="31">
        <v>4296.6499999999996</v>
      </c>
      <c r="J43" s="52">
        <v>5735.37</v>
      </c>
      <c r="K43" s="31">
        <v>5735.37</v>
      </c>
      <c r="L43" s="57" t="s">
        <v>436</v>
      </c>
      <c r="M43" s="52" t="s">
        <v>120</v>
      </c>
      <c r="N43" s="60" t="s">
        <v>289</v>
      </c>
      <c r="O43" s="61" t="s">
        <v>283</v>
      </c>
      <c r="P43" s="52"/>
      <c r="Q43" s="52"/>
      <c r="R43" s="52"/>
      <c r="S43" s="52"/>
      <c r="T43" s="52"/>
      <c r="U43" s="52"/>
      <c r="V43" s="52"/>
      <c r="W43" s="52"/>
      <c r="X43" s="52"/>
    </row>
    <row r="44" spans="1:24" ht="47.25" customHeight="1" x14ac:dyDescent="0.25">
      <c r="A44" s="52">
        <v>41</v>
      </c>
      <c r="B44" s="52" t="s">
        <v>363</v>
      </c>
      <c r="C44" s="57" t="s">
        <v>364</v>
      </c>
      <c r="D44" s="57" t="s">
        <v>365</v>
      </c>
      <c r="E44" s="57" t="s">
        <v>364</v>
      </c>
      <c r="F44" s="52" t="s">
        <v>366</v>
      </c>
      <c r="G44" s="52">
        <v>3600</v>
      </c>
      <c r="H44" s="52">
        <v>885.85</v>
      </c>
      <c r="I44" s="31">
        <v>3501.69</v>
      </c>
      <c r="J44" s="52">
        <v>3600</v>
      </c>
      <c r="K44" s="31">
        <v>1</v>
      </c>
      <c r="L44" s="57" t="s">
        <v>437</v>
      </c>
      <c r="M44" s="52" t="s">
        <v>120</v>
      </c>
      <c r="N44" s="60" t="s">
        <v>289</v>
      </c>
      <c r="O44" s="61" t="s">
        <v>283</v>
      </c>
      <c r="P44" s="52"/>
      <c r="Q44" s="52"/>
      <c r="R44" s="52"/>
      <c r="S44" s="52"/>
      <c r="T44" s="52"/>
      <c r="U44" s="52"/>
      <c r="V44" s="52"/>
      <c r="W44" s="52"/>
      <c r="X44" s="52"/>
    </row>
    <row r="45" spans="1:24" ht="47.25" customHeight="1" x14ac:dyDescent="0.25">
      <c r="A45" s="52">
        <v>42</v>
      </c>
      <c r="B45" s="52" t="s">
        <v>16</v>
      </c>
      <c r="C45" s="57" t="s">
        <v>367</v>
      </c>
      <c r="D45" s="57" t="s">
        <v>172</v>
      </c>
      <c r="E45" s="57" t="s">
        <v>367</v>
      </c>
      <c r="F45" s="52" t="s">
        <v>174</v>
      </c>
      <c r="G45" s="52">
        <v>39950</v>
      </c>
      <c r="H45" s="52">
        <v>8366.66</v>
      </c>
      <c r="I45" s="31" t="s">
        <v>304</v>
      </c>
      <c r="J45" s="52" t="s">
        <v>304</v>
      </c>
      <c r="K45" s="31" t="s">
        <v>120</v>
      </c>
      <c r="L45" s="52" t="s">
        <v>120</v>
      </c>
      <c r="M45" s="52" t="s">
        <v>120</v>
      </c>
      <c r="N45" s="60" t="s">
        <v>368</v>
      </c>
      <c r="O45" s="52" t="s">
        <v>304</v>
      </c>
      <c r="P45" s="52"/>
      <c r="Q45" s="52"/>
      <c r="R45" s="52"/>
      <c r="S45" s="52"/>
      <c r="T45" s="52"/>
      <c r="U45" s="52"/>
      <c r="V45" s="52"/>
      <c r="W45" s="52"/>
      <c r="X45" s="52"/>
    </row>
    <row r="46" spans="1:24" ht="47.25" customHeight="1" x14ac:dyDescent="0.25">
      <c r="A46" s="52">
        <v>43</v>
      </c>
      <c r="B46" s="52" t="s">
        <v>369</v>
      </c>
      <c r="C46" s="57" t="s">
        <v>370</v>
      </c>
      <c r="D46" s="57" t="s">
        <v>172</v>
      </c>
      <c r="E46" s="57" t="s">
        <v>370</v>
      </c>
      <c r="F46" s="52" t="s">
        <v>174</v>
      </c>
      <c r="G46" s="52">
        <v>7350</v>
      </c>
      <c r="H46" s="52">
        <v>1356.65</v>
      </c>
      <c r="I46" s="31" t="s">
        <v>304</v>
      </c>
      <c r="J46" s="52" t="s">
        <v>304</v>
      </c>
      <c r="K46" s="31" t="s">
        <v>120</v>
      </c>
      <c r="L46" s="52" t="s">
        <v>120</v>
      </c>
      <c r="M46" s="52" t="s">
        <v>120</v>
      </c>
      <c r="N46" s="60" t="s">
        <v>371</v>
      </c>
      <c r="O46" s="52" t="s">
        <v>304</v>
      </c>
      <c r="P46" s="52"/>
      <c r="Q46" s="52"/>
      <c r="R46" s="52"/>
      <c r="S46" s="52"/>
      <c r="T46" s="52"/>
      <c r="U46" s="52"/>
      <c r="V46" s="52"/>
      <c r="W46" s="52"/>
      <c r="X46" s="52"/>
    </row>
    <row r="47" spans="1:24" ht="47.25" customHeight="1" x14ac:dyDescent="0.25">
      <c r="A47" s="52">
        <v>44</v>
      </c>
      <c r="B47" s="52" t="s">
        <v>22</v>
      </c>
      <c r="C47" s="57" t="s">
        <v>176</v>
      </c>
      <c r="D47" s="57" t="s">
        <v>175</v>
      </c>
      <c r="E47" s="57" t="s">
        <v>176</v>
      </c>
      <c r="F47" s="52" t="s">
        <v>177</v>
      </c>
      <c r="G47" s="52">
        <v>340</v>
      </c>
      <c r="H47" s="52">
        <v>125.21</v>
      </c>
      <c r="I47" s="31">
        <v>2876.95</v>
      </c>
      <c r="J47" s="52">
        <v>340</v>
      </c>
      <c r="K47" s="31" t="s">
        <v>120</v>
      </c>
      <c r="L47" s="52" t="s">
        <v>120</v>
      </c>
      <c r="M47" s="52" t="s">
        <v>120</v>
      </c>
      <c r="N47" s="60" t="s">
        <v>289</v>
      </c>
      <c r="O47" s="61" t="s">
        <v>283</v>
      </c>
      <c r="P47" s="52"/>
      <c r="Q47" s="52"/>
      <c r="R47" s="52"/>
      <c r="S47" s="52"/>
      <c r="T47" s="52"/>
      <c r="U47" s="52"/>
      <c r="V47" s="52"/>
      <c r="W47" s="52"/>
      <c r="X47" s="52"/>
    </row>
    <row r="48" spans="1:24" ht="47.25" customHeight="1" x14ac:dyDescent="0.25">
      <c r="A48" s="52">
        <v>45</v>
      </c>
      <c r="B48" s="52" t="s">
        <v>179</v>
      </c>
      <c r="C48" s="57" t="s">
        <v>372</v>
      </c>
      <c r="D48" s="57" t="s">
        <v>180</v>
      </c>
      <c r="E48" s="57" t="s">
        <v>372</v>
      </c>
      <c r="F48" s="52" t="s">
        <v>182</v>
      </c>
      <c r="G48" s="52">
        <v>3600</v>
      </c>
      <c r="H48" s="52">
        <v>2835.36</v>
      </c>
      <c r="I48" s="31" t="s">
        <v>304</v>
      </c>
      <c r="J48" s="52" t="s">
        <v>304</v>
      </c>
      <c r="K48" s="31" t="s">
        <v>120</v>
      </c>
      <c r="L48" s="52" t="s">
        <v>120</v>
      </c>
      <c r="M48" s="52" t="s">
        <v>120</v>
      </c>
      <c r="N48" s="60" t="s">
        <v>368</v>
      </c>
      <c r="O48" s="52" t="s">
        <v>304</v>
      </c>
      <c r="P48" s="52"/>
      <c r="Q48" s="52"/>
      <c r="R48" s="52"/>
      <c r="S48" s="52"/>
      <c r="T48" s="52"/>
      <c r="U48" s="52"/>
      <c r="V48" s="52"/>
      <c r="W48" s="52"/>
      <c r="X48" s="52"/>
    </row>
    <row r="49" spans="1:24" ht="47.25" customHeight="1" x14ac:dyDescent="0.25">
      <c r="A49" s="52">
        <v>46</v>
      </c>
      <c r="B49" s="52" t="s">
        <v>185</v>
      </c>
      <c r="C49" s="57" t="s">
        <v>373</v>
      </c>
      <c r="D49" s="57" t="s">
        <v>180</v>
      </c>
      <c r="E49" s="57" t="s">
        <v>373</v>
      </c>
      <c r="F49" s="52" t="s">
        <v>182</v>
      </c>
      <c r="G49" s="52">
        <v>3600</v>
      </c>
      <c r="H49" s="52">
        <v>65.77</v>
      </c>
      <c r="I49" s="31" t="s">
        <v>304</v>
      </c>
      <c r="J49" s="52" t="s">
        <v>304</v>
      </c>
      <c r="K49" s="31" t="s">
        <v>120</v>
      </c>
      <c r="L49" s="52" t="s">
        <v>120</v>
      </c>
      <c r="M49" s="52" t="s">
        <v>120</v>
      </c>
      <c r="N49" s="60" t="s">
        <v>374</v>
      </c>
      <c r="O49" s="52" t="s">
        <v>304</v>
      </c>
      <c r="P49" s="52"/>
      <c r="Q49" s="52"/>
      <c r="R49" s="52"/>
      <c r="S49" s="52"/>
      <c r="T49" s="52"/>
      <c r="U49" s="52"/>
      <c r="V49" s="52"/>
      <c r="W49" s="52"/>
      <c r="X49" s="52"/>
    </row>
    <row r="50" spans="1:24" ht="47.25" customHeight="1" x14ac:dyDescent="0.25">
      <c r="A50" s="52">
        <v>47</v>
      </c>
      <c r="B50" s="52" t="s">
        <v>187</v>
      </c>
      <c r="C50" s="57" t="s">
        <v>375</v>
      </c>
      <c r="D50" s="57" t="s">
        <v>188</v>
      </c>
      <c r="E50" s="57" t="s">
        <v>375</v>
      </c>
      <c r="F50" s="52" t="s">
        <v>190</v>
      </c>
      <c r="G50" s="52">
        <v>20910</v>
      </c>
      <c r="H50" s="52">
        <v>1586.42</v>
      </c>
      <c r="I50" s="31" t="s">
        <v>304</v>
      </c>
      <c r="J50" s="52" t="s">
        <v>304</v>
      </c>
      <c r="K50" s="31" t="s">
        <v>120</v>
      </c>
      <c r="L50" s="52" t="s">
        <v>120</v>
      </c>
      <c r="M50" s="52" t="s">
        <v>120</v>
      </c>
      <c r="N50" s="60" t="s">
        <v>374</v>
      </c>
      <c r="O50" s="52" t="s">
        <v>304</v>
      </c>
      <c r="P50" s="52"/>
      <c r="Q50" s="52"/>
      <c r="R50" s="52"/>
      <c r="S50" s="52"/>
      <c r="T50" s="52"/>
      <c r="U50" s="52"/>
      <c r="V50" s="52"/>
      <c r="W50" s="52"/>
      <c r="X50" s="52"/>
    </row>
    <row r="51" spans="1:24" ht="47.25" customHeight="1" x14ac:dyDescent="0.25">
      <c r="A51" s="52">
        <v>48</v>
      </c>
      <c r="B51" s="52" t="s">
        <v>193</v>
      </c>
      <c r="C51" s="57" t="s">
        <v>376</v>
      </c>
      <c r="D51" s="57" t="s">
        <v>194</v>
      </c>
      <c r="E51" s="57" t="s">
        <v>376</v>
      </c>
      <c r="F51" s="52" t="s">
        <v>196</v>
      </c>
      <c r="G51" s="52">
        <v>6760</v>
      </c>
      <c r="H51" s="52">
        <v>691.31</v>
      </c>
      <c r="I51" s="31" t="s">
        <v>304</v>
      </c>
      <c r="J51" s="52" t="s">
        <v>304</v>
      </c>
      <c r="K51" s="31" t="s">
        <v>120</v>
      </c>
      <c r="L51" s="52" t="s">
        <v>120</v>
      </c>
      <c r="M51" s="52" t="s">
        <v>120</v>
      </c>
      <c r="N51" s="60" t="s">
        <v>374</v>
      </c>
      <c r="O51" s="52" t="s">
        <v>304</v>
      </c>
      <c r="P51" s="52"/>
      <c r="Q51" s="52"/>
      <c r="R51" s="52"/>
      <c r="S51" s="52"/>
      <c r="T51" s="52"/>
      <c r="U51" s="52"/>
      <c r="V51" s="52"/>
      <c r="W51" s="52"/>
      <c r="X51" s="52"/>
    </row>
    <row r="52" spans="1:24" ht="47.25" customHeight="1" x14ac:dyDescent="0.25">
      <c r="A52" s="52">
        <v>49</v>
      </c>
      <c r="B52" s="52" t="s">
        <v>199</v>
      </c>
      <c r="C52" s="57" t="s">
        <v>377</v>
      </c>
      <c r="D52" s="57" t="s">
        <v>200</v>
      </c>
      <c r="E52" s="57" t="s">
        <v>377</v>
      </c>
      <c r="F52" s="52" t="s">
        <v>202</v>
      </c>
      <c r="G52" s="52">
        <v>3760</v>
      </c>
      <c r="H52" s="52">
        <v>640.04</v>
      </c>
      <c r="I52" s="31" t="s">
        <v>304</v>
      </c>
      <c r="J52" s="52" t="s">
        <v>304</v>
      </c>
      <c r="K52" s="31" t="s">
        <v>120</v>
      </c>
      <c r="L52" s="52" t="s">
        <v>120</v>
      </c>
      <c r="M52" s="52" t="s">
        <v>120</v>
      </c>
      <c r="N52" s="60" t="s">
        <v>374</v>
      </c>
      <c r="O52" s="52" t="s">
        <v>304</v>
      </c>
      <c r="P52" s="52"/>
      <c r="Q52" s="52"/>
      <c r="R52" s="52"/>
      <c r="S52" s="52"/>
      <c r="T52" s="52"/>
      <c r="U52" s="52"/>
      <c r="V52" s="52"/>
      <c r="W52" s="52"/>
      <c r="X52" s="52"/>
    </row>
    <row r="53" spans="1:24" ht="47.25" customHeight="1" x14ac:dyDescent="0.25">
      <c r="A53" s="52">
        <v>50</v>
      </c>
      <c r="B53" s="52" t="s">
        <v>205</v>
      </c>
      <c r="C53" s="57" t="s">
        <v>378</v>
      </c>
      <c r="D53" s="57" t="s">
        <v>206</v>
      </c>
      <c r="E53" s="57" t="s">
        <v>378</v>
      </c>
      <c r="F53" s="52" t="s">
        <v>208</v>
      </c>
      <c r="G53" s="52">
        <v>7660</v>
      </c>
      <c r="H53" s="52">
        <v>791.76</v>
      </c>
      <c r="I53" s="31" t="s">
        <v>304</v>
      </c>
      <c r="J53" s="52" t="s">
        <v>304</v>
      </c>
      <c r="K53" s="31" t="s">
        <v>120</v>
      </c>
      <c r="L53" s="52" t="s">
        <v>120</v>
      </c>
      <c r="M53" s="52" t="s">
        <v>120</v>
      </c>
      <c r="N53" s="60" t="s">
        <v>379</v>
      </c>
      <c r="O53" s="52" t="s">
        <v>304</v>
      </c>
      <c r="P53" s="52"/>
      <c r="Q53" s="52"/>
      <c r="R53" s="52"/>
      <c r="S53" s="52"/>
      <c r="T53" s="52"/>
      <c r="U53" s="52"/>
      <c r="V53" s="52"/>
      <c r="W53" s="52"/>
      <c r="X53" s="52"/>
    </row>
    <row r="54" spans="1:24" ht="47.25" customHeight="1" x14ac:dyDescent="0.25">
      <c r="A54" s="52">
        <v>51</v>
      </c>
      <c r="B54" s="52" t="s">
        <v>210</v>
      </c>
      <c r="C54" s="57" t="s">
        <v>212</v>
      </c>
      <c r="D54" s="57" t="s">
        <v>211</v>
      </c>
      <c r="E54" s="57" t="s">
        <v>212</v>
      </c>
      <c r="F54" s="52" t="s">
        <v>213</v>
      </c>
      <c r="G54" s="52">
        <v>1260</v>
      </c>
      <c r="H54" s="52">
        <v>394.51</v>
      </c>
      <c r="I54" s="31" t="s">
        <v>304</v>
      </c>
      <c r="J54" s="52" t="s">
        <v>304</v>
      </c>
      <c r="K54" s="31" t="s">
        <v>120</v>
      </c>
      <c r="L54" s="52" t="s">
        <v>120</v>
      </c>
      <c r="M54" s="52" t="s">
        <v>120</v>
      </c>
      <c r="N54" s="60" t="s">
        <v>379</v>
      </c>
      <c r="O54" s="52" t="s">
        <v>304</v>
      </c>
      <c r="P54" s="52"/>
      <c r="Q54" s="52"/>
      <c r="R54" s="52"/>
      <c r="S54" s="52"/>
      <c r="T54" s="52"/>
      <c r="U54" s="52"/>
      <c r="V54" s="52"/>
      <c r="W54" s="52"/>
      <c r="X54" s="52"/>
    </row>
    <row r="55" spans="1:24" ht="47.25" customHeight="1" x14ac:dyDescent="0.25">
      <c r="A55" s="52">
        <v>52</v>
      </c>
      <c r="B55" s="52" t="s">
        <v>214</v>
      </c>
      <c r="C55" s="57" t="s">
        <v>380</v>
      </c>
      <c r="D55" s="57" t="s">
        <v>211</v>
      </c>
      <c r="E55" s="57" t="s">
        <v>380</v>
      </c>
      <c r="F55" s="52" t="s">
        <v>216</v>
      </c>
      <c r="G55" s="52">
        <v>600</v>
      </c>
      <c r="H55" s="52">
        <v>223.78</v>
      </c>
      <c r="I55" s="31" t="s">
        <v>304</v>
      </c>
      <c r="J55" s="52" t="s">
        <v>304</v>
      </c>
      <c r="K55" s="31" t="s">
        <v>120</v>
      </c>
      <c r="L55" s="52" t="s">
        <v>120</v>
      </c>
      <c r="M55" s="52" t="s">
        <v>120</v>
      </c>
      <c r="N55" s="60" t="s">
        <v>379</v>
      </c>
      <c r="O55" s="52" t="s">
        <v>304</v>
      </c>
      <c r="P55" s="52"/>
      <c r="Q55" s="52"/>
      <c r="R55" s="52"/>
      <c r="S55" s="52"/>
      <c r="T55" s="52"/>
      <c r="U55" s="52"/>
      <c r="V55" s="52"/>
      <c r="W55" s="52"/>
      <c r="X55" s="52"/>
    </row>
    <row r="56" spans="1:24" x14ac:dyDescent="0.25">
      <c r="B56" s="298" t="s">
        <v>381</v>
      </c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</row>
  </sheetData>
  <mergeCells count="2">
    <mergeCell ref="A1:O1"/>
    <mergeCell ref="B56:N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9"/>
  <sheetViews>
    <sheetView topLeftCell="A16" workbookViewId="0">
      <selection activeCell="L30" sqref="L30"/>
    </sheetView>
  </sheetViews>
  <sheetFormatPr defaultRowHeight="15" x14ac:dyDescent="0.25"/>
  <cols>
    <col min="1" max="1" width="5.42578125" style="20" bestFit="1" customWidth="1"/>
    <col min="2" max="2" width="15.5703125" style="20" bestFit="1" customWidth="1"/>
    <col min="3" max="3" width="11.7109375" style="26" bestFit="1" customWidth="1"/>
    <col min="4" max="4" width="15.28515625" style="26" bestFit="1" customWidth="1"/>
    <col min="5" max="5" width="10.140625" style="20" bestFit="1" customWidth="1"/>
    <col min="6" max="6" width="12.85546875" style="29" bestFit="1" customWidth="1"/>
    <col min="7" max="7" width="9.140625" style="32" bestFit="1" customWidth="1"/>
    <col min="8" max="8" width="8.140625" style="27" bestFit="1" customWidth="1"/>
    <col min="9" max="9" width="9.140625" style="18" bestFit="1" customWidth="1"/>
    <col min="10" max="10" width="8" style="20" bestFit="1" customWidth="1"/>
    <col min="11" max="11" width="12" style="20" bestFit="1" customWidth="1"/>
    <col min="12" max="12" width="9" style="20" bestFit="1" customWidth="1"/>
    <col min="13" max="13" width="7.7109375" style="20" bestFit="1" customWidth="1"/>
    <col min="14" max="14" width="12.140625" style="20" bestFit="1" customWidth="1"/>
    <col min="15" max="16384" width="9.140625" style="20"/>
  </cols>
  <sheetData>
    <row r="1" spans="1:14" x14ac:dyDescent="0.25">
      <c r="A1" s="301" t="s">
        <v>145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ht="15" customHeight="1" x14ac:dyDescent="0.25">
      <c r="A2" s="34"/>
    </row>
    <row r="3" spans="1:14" ht="42" customHeight="1" x14ac:dyDescent="0.25">
      <c r="A3" s="42" t="s">
        <v>2</v>
      </c>
      <c r="B3" s="43" t="s">
        <v>3</v>
      </c>
      <c r="C3" s="42" t="s">
        <v>4</v>
      </c>
      <c r="D3" s="42" t="s">
        <v>5</v>
      </c>
      <c r="E3" s="42" t="s">
        <v>6</v>
      </c>
      <c r="F3" s="44" t="s">
        <v>7</v>
      </c>
      <c r="G3" s="45" t="s">
        <v>146</v>
      </c>
      <c r="H3" s="46" t="s">
        <v>9</v>
      </c>
      <c r="I3" s="11" t="s">
        <v>96</v>
      </c>
      <c r="J3" s="42" t="s">
        <v>11</v>
      </c>
      <c r="K3" s="42" t="s">
        <v>12</v>
      </c>
      <c r="L3" s="42" t="s">
        <v>13</v>
      </c>
      <c r="M3" s="42" t="s">
        <v>14</v>
      </c>
      <c r="N3" s="42" t="s">
        <v>15</v>
      </c>
    </row>
    <row r="4" spans="1:14" ht="39" customHeight="1" x14ac:dyDescent="0.25">
      <c r="A4" s="20">
        <v>1</v>
      </c>
      <c r="B4" s="20" t="s">
        <v>147</v>
      </c>
      <c r="C4" s="26" t="s">
        <v>148</v>
      </c>
      <c r="D4" s="26" t="s">
        <v>149</v>
      </c>
      <c r="E4" s="20" t="s">
        <v>150</v>
      </c>
      <c r="F4" s="29">
        <v>11350</v>
      </c>
      <c r="G4" s="39">
        <v>10046.59</v>
      </c>
      <c r="H4" s="27">
        <v>831.15</v>
      </c>
      <c r="I4" s="18">
        <v>10877.74</v>
      </c>
      <c r="J4" s="20">
        <v>20</v>
      </c>
      <c r="K4" s="26" t="s">
        <v>151</v>
      </c>
      <c r="L4" s="26" t="s">
        <v>152</v>
      </c>
      <c r="M4" s="40" t="s">
        <v>21</v>
      </c>
      <c r="N4" s="41">
        <v>41411</v>
      </c>
    </row>
    <row r="5" spans="1:14" ht="39" customHeight="1" x14ac:dyDescent="0.25">
      <c r="A5" s="20">
        <v>2</v>
      </c>
      <c r="B5" s="20" t="s">
        <v>153</v>
      </c>
      <c r="C5" s="26" t="s">
        <v>148</v>
      </c>
      <c r="D5" s="26" t="s">
        <v>154</v>
      </c>
      <c r="E5" s="20" t="s">
        <v>150</v>
      </c>
      <c r="F5" s="29">
        <v>16860</v>
      </c>
      <c r="G5" s="39">
        <v>1647.93</v>
      </c>
      <c r="H5" s="27">
        <v>831.15</v>
      </c>
      <c r="I5" s="18">
        <v>2479.08</v>
      </c>
      <c r="J5" s="20">
        <v>1</v>
      </c>
      <c r="K5" s="26" t="s">
        <v>151</v>
      </c>
      <c r="L5" s="31" t="s">
        <v>120</v>
      </c>
      <c r="M5" s="40" t="s">
        <v>21</v>
      </c>
      <c r="N5" s="41">
        <v>41411</v>
      </c>
    </row>
    <row r="6" spans="1:14" ht="39" customHeight="1" x14ac:dyDescent="0.25">
      <c r="A6" s="20">
        <v>3</v>
      </c>
      <c r="B6" s="20" t="s">
        <v>155</v>
      </c>
      <c r="C6" s="26" t="s">
        <v>148</v>
      </c>
      <c r="D6" s="26" t="s">
        <v>154</v>
      </c>
      <c r="E6" s="20" t="s">
        <v>150</v>
      </c>
      <c r="F6" s="29">
        <v>11240</v>
      </c>
      <c r="G6" s="39">
        <v>1098.3800000000001</v>
      </c>
      <c r="H6" s="27">
        <v>831.15</v>
      </c>
      <c r="I6" s="18">
        <v>1929.53</v>
      </c>
      <c r="J6" s="20">
        <v>1</v>
      </c>
      <c r="K6" s="26" t="s">
        <v>151</v>
      </c>
      <c r="L6" s="31" t="s">
        <v>120</v>
      </c>
      <c r="M6" s="40" t="s">
        <v>21</v>
      </c>
      <c r="N6" s="41">
        <v>41411</v>
      </c>
    </row>
    <row r="7" spans="1:14" ht="39" customHeight="1" x14ac:dyDescent="0.25">
      <c r="A7" s="20">
        <v>4</v>
      </c>
      <c r="B7" s="20" t="s">
        <v>156</v>
      </c>
      <c r="C7" s="26" t="s">
        <v>148</v>
      </c>
      <c r="D7" s="26" t="s">
        <v>154</v>
      </c>
      <c r="E7" s="20" t="s">
        <v>150</v>
      </c>
      <c r="F7" s="29">
        <v>11240</v>
      </c>
      <c r="G7" s="39">
        <v>1098.3800000000001</v>
      </c>
      <c r="H7" s="27">
        <v>831.15</v>
      </c>
      <c r="I7" s="18">
        <v>1929.53</v>
      </c>
      <c r="J7" s="20">
        <v>1</v>
      </c>
      <c r="K7" s="26" t="s">
        <v>151</v>
      </c>
      <c r="L7" s="31" t="s">
        <v>120</v>
      </c>
      <c r="M7" s="40" t="s">
        <v>21</v>
      </c>
      <c r="N7" s="41">
        <v>41411</v>
      </c>
    </row>
    <row r="8" spans="1:14" ht="39" customHeight="1" x14ac:dyDescent="0.25">
      <c r="A8" s="20">
        <v>5</v>
      </c>
      <c r="B8" s="20" t="s">
        <v>157</v>
      </c>
      <c r="C8" s="26" t="s">
        <v>148</v>
      </c>
      <c r="D8" s="26" t="s">
        <v>154</v>
      </c>
      <c r="E8" s="20" t="s">
        <v>150</v>
      </c>
      <c r="F8" s="29">
        <v>14640</v>
      </c>
      <c r="G8" s="39">
        <v>1430.57</v>
      </c>
      <c r="H8" s="27">
        <v>831.14</v>
      </c>
      <c r="I8" s="18">
        <v>2261.71</v>
      </c>
      <c r="J8" s="20">
        <v>1</v>
      </c>
      <c r="K8" s="26" t="s">
        <v>151</v>
      </c>
      <c r="L8" s="31" t="s">
        <v>120</v>
      </c>
      <c r="M8" s="40" t="s">
        <v>21</v>
      </c>
      <c r="N8" s="41">
        <v>41411</v>
      </c>
    </row>
    <row r="9" spans="1:14" ht="39" customHeight="1" x14ac:dyDescent="0.25">
      <c r="A9" s="20">
        <v>6</v>
      </c>
      <c r="B9" s="20" t="s">
        <v>158</v>
      </c>
      <c r="C9" s="26" t="s">
        <v>148</v>
      </c>
      <c r="D9" s="26" t="s">
        <v>154</v>
      </c>
      <c r="E9" s="20" t="s">
        <v>150</v>
      </c>
      <c r="F9" s="29">
        <v>14830</v>
      </c>
      <c r="G9" s="39">
        <v>1448.69</v>
      </c>
      <c r="H9" s="27">
        <v>831.14</v>
      </c>
      <c r="I9" s="18">
        <v>2279.83</v>
      </c>
      <c r="J9" s="20">
        <v>1500</v>
      </c>
      <c r="K9" s="26" t="s">
        <v>151</v>
      </c>
      <c r="L9" s="20" t="s">
        <v>159</v>
      </c>
      <c r="M9" s="40" t="s">
        <v>21</v>
      </c>
      <c r="N9" s="41">
        <v>41411</v>
      </c>
    </row>
    <row r="10" spans="1:14" ht="39" customHeight="1" x14ac:dyDescent="0.25">
      <c r="A10" s="20">
        <v>7</v>
      </c>
      <c r="B10" s="20" t="s">
        <v>160</v>
      </c>
      <c r="C10" s="26" t="s">
        <v>148</v>
      </c>
      <c r="D10" s="26" t="s">
        <v>154</v>
      </c>
      <c r="E10" s="20" t="s">
        <v>150</v>
      </c>
      <c r="F10" s="29">
        <v>13850</v>
      </c>
      <c r="G10" s="39">
        <v>1354.83</v>
      </c>
      <c r="H10" s="27">
        <v>831.14</v>
      </c>
      <c r="I10" s="18">
        <v>2185.9699999999998</v>
      </c>
      <c r="J10" s="20">
        <v>1650</v>
      </c>
      <c r="K10" s="26" t="s">
        <v>151</v>
      </c>
      <c r="L10" s="26" t="s">
        <v>161</v>
      </c>
      <c r="M10" s="40" t="s">
        <v>21</v>
      </c>
      <c r="N10" s="41">
        <v>41411</v>
      </c>
    </row>
    <row r="11" spans="1:14" ht="39" customHeight="1" x14ac:dyDescent="0.25">
      <c r="A11" s="20">
        <v>8</v>
      </c>
      <c r="B11" s="20" t="s">
        <v>162</v>
      </c>
      <c r="C11" s="26" t="s">
        <v>148</v>
      </c>
      <c r="D11" s="26" t="s">
        <v>154</v>
      </c>
      <c r="E11" s="20" t="s">
        <v>150</v>
      </c>
      <c r="F11" s="29">
        <v>12870</v>
      </c>
      <c r="G11" s="39">
        <v>1257.1500000000001</v>
      </c>
      <c r="H11" s="27">
        <v>831.14</v>
      </c>
      <c r="I11" s="18">
        <v>2088.29</v>
      </c>
      <c r="J11" s="20">
        <v>3300</v>
      </c>
      <c r="K11" s="26" t="s">
        <v>151</v>
      </c>
      <c r="L11" s="26" t="s">
        <v>161</v>
      </c>
      <c r="M11" s="40" t="s">
        <v>21</v>
      </c>
      <c r="N11" s="41">
        <v>41411</v>
      </c>
    </row>
    <row r="12" spans="1:14" ht="39" customHeight="1" x14ac:dyDescent="0.25">
      <c r="A12" s="20">
        <v>9</v>
      </c>
      <c r="B12" s="20" t="s">
        <v>163</v>
      </c>
      <c r="C12" s="26" t="s">
        <v>148</v>
      </c>
      <c r="D12" s="26" t="s">
        <v>154</v>
      </c>
      <c r="E12" s="20" t="s">
        <v>150</v>
      </c>
      <c r="F12" s="29">
        <v>12550</v>
      </c>
      <c r="G12" s="39">
        <v>1242.32</v>
      </c>
      <c r="H12" s="27">
        <v>831.14</v>
      </c>
      <c r="I12" s="18">
        <v>2073.46</v>
      </c>
      <c r="J12" s="20">
        <v>1</v>
      </c>
      <c r="K12" s="26" t="s">
        <v>151</v>
      </c>
      <c r="L12" s="31" t="s">
        <v>120</v>
      </c>
      <c r="M12" s="40" t="s">
        <v>21</v>
      </c>
      <c r="N12" s="41">
        <v>41411</v>
      </c>
    </row>
    <row r="13" spans="1:14" ht="39" customHeight="1" x14ac:dyDescent="0.25">
      <c r="A13" s="20">
        <v>10</v>
      </c>
      <c r="B13" s="20" t="s">
        <v>164</v>
      </c>
      <c r="C13" s="26" t="s">
        <v>148</v>
      </c>
      <c r="D13" s="26" t="s">
        <v>154</v>
      </c>
      <c r="E13" s="20" t="s">
        <v>150</v>
      </c>
      <c r="F13" s="29">
        <v>5290</v>
      </c>
      <c r="G13" s="39">
        <v>516.87</v>
      </c>
      <c r="H13" s="27">
        <v>831.14</v>
      </c>
      <c r="I13" s="18">
        <v>1348.01</v>
      </c>
      <c r="J13" s="20">
        <v>1</v>
      </c>
      <c r="K13" s="26" t="s">
        <v>151</v>
      </c>
      <c r="L13" s="31" t="s">
        <v>120</v>
      </c>
      <c r="M13" s="40" t="s">
        <v>21</v>
      </c>
      <c r="N13" s="41">
        <v>41411</v>
      </c>
    </row>
    <row r="14" spans="1:14" ht="36" customHeight="1" x14ac:dyDescent="0.25">
      <c r="A14" s="20">
        <v>11</v>
      </c>
      <c r="B14" s="20" t="s">
        <v>165</v>
      </c>
      <c r="C14" s="26" t="s">
        <v>148</v>
      </c>
      <c r="D14" s="26" t="s">
        <v>154</v>
      </c>
      <c r="E14" s="20" t="s">
        <v>150</v>
      </c>
      <c r="F14" s="29">
        <v>14830</v>
      </c>
      <c r="G14" s="39">
        <v>1477.15</v>
      </c>
      <c r="H14" s="27">
        <v>831.14</v>
      </c>
      <c r="I14" s="18">
        <v>2308.29</v>
      </c>
      <c r="J14" s="20">
        <v>2100</v>
      </c>
      <c r="K14" s="26" t="s">
        <v>151</v>
      </c>
      <c r="L14" s="20" t="s">
        <v>159</v>
      </c>
      <c r="M14" s="40" t="s">
        <v>21</v>
      </c>
      <c r="N14" s="41">
        <v>41411</v>
      </c>
    </row>
    <row r="15" spans="1:14" ht="30" x14ac:dyDescent="0.25">
      <c r="A15" s="20">
        <v>12</v>
      </c>
      <c r="B15" s="20" t="s">
        <v>166</v>
      </c>
      <c r="C15" s="26" t="s">
        <v>148</v>
      </c>
      <c r="D15" s="26" t="s">
        <v>154</v>
      </c>
      <c r="E15" s="20" t="s">
        <v>150</v>
      </c>
      <c r="F15" s="29">
        <v>6140</v>
      </c>
      <c r="G15" s="39">
        <v>601.1</v>
      </c>
      <c r="H15" s="27">
        <v>831.12</v>
      </c>
      <c r="I15" s="18">
        <v>1432.22</v>
      </c>
      <c r="J15" s="20">
        <v>1</v>
      </c>
      <c r="K15" s="26" t="s">
        <v>151</v>
      </c>
      <c r="L15" s="31" t="s">
        <v>120</v>
      </c>
      <c r="M15" s="40" t="s">
        <v>21</v>
      </c>
      <c r="N15" s="41">
        <v>41411</v>
      </c>
    </row>
    <row r="16" spans="1:14" ht="39" customHeight="1" x14ac:dyDescent="0.25">
      <c r="A16" s="20">
        <v>13</v>
      </c>
      <c r="B16" s="20" t="s">
        <v>167</v>
      </c>
      <c r="C16" s="26" t="s">
        <v>168</v>
      </c>
      <c r="D16" s="26" t="s">
        <v>169</v>
      </c>
      <c r="E16" s="20" t="s">
        <v>170</v>
      </c>
      <c r="F16" s="29">
        <v>3520</v>
      </c>
      <c r="G16" s="27">
        <v>1806.26</v>
      </c>
      <c r="H16" s="27">
        <v>3941.58</v>
      </c>
      <c r="I16" s="18">
        <v>3520</v>
      </c>
      <c r="J16" s="20">
        <v>1</v>
      </c>
      <c r="K16" s="26" t="s">
        <v>171</v>
      </c>
      <c r="L16" s="31" t="s">
        <v>120</v>
      </c>
      <c r="M16" s="40" t="s">
        <v>21</v>
      </c>
      <c r="N16" s="41">
        <v>41411</v>
      </c>
    </row>
    <row r="17" spans="1:14" ht="39" customHeight="1" x14ac:dyDescent="0.25">
      <c r="A17" s="20">
        <v>14</v>
      </c>
      <c r="B17" s="20" t="s">
        <v>16</v>
      </c>
      <c r="C17" s="26" t="s">
        <v>172</v>
      </c>
      <c r="D17" s="26" t="s">
        <v>173</v>
      </c>
      <c r="E17" s="20" t="s">
        <v>174</v>
      </c>
      <c r="F17" s="29">
        <v>39950</v>
      </c>
      <c r="G17" s="27">
        <v>9004.36</v>
      </c>
      <c r="H17" s="27">
        <v>2917.26</v>
      </c>
      <c r="I17" s="18">
        <v>11921.62</v>
      </c>
      <c r="J17" s="31" t="s">
        <v>120</v>
      </c>
      <c r="K17" s="31" t="s">
        <v>120</v>
      </c>
      <c r="L17" s="31" t="s">
        <v>120</v>
      </c>
      <c r="M17" s="40" t="s">
        <v>21</v>
      </c>
      <c r="N17" s="41">
        <v>41411</v>
      </c>
    </row>
    <row r="18" spans="1:14" ht="39" customHeight="1" x14ac:dyDescent="0.25">
      <c r="A18" s="20">
        <v>15</v>
      </c>
      <c r="B18" s="20" t="s">
        <v>22</v>
      </c>
      <c r="C18" s="26" t="s">
        <v>175</v>
      </c>
      <c r="D18" s="26" t="s">
        <v>176</v>
      </c>
      <c r="E18" s="20" t="s">
        <v>177</v>
      </c>
      <c r="F18" s="29">
        <v>340</v>
      </c>
      <c r="G18" s="27">
        <v>142.99</v>
      </c>
      <c r="H18" s="27">
        <v>3031.38</v>
      </c>
      <c r="I18" s="18">
        <v>340</v>
      </c>
      <c r="J18" s="20">
        <v>1000</v>
      </c>
      <c r="K18" s="26" t="s">
        <v>152</v>
      </c>
      <c r="L18" s="26" t="s">
        <v>178</v>
      </c>
      <c r="M18" s="40" t="s">
        <v>21</v>
      </c>
      <c r="N18" s="41">
        <v>41411</v>
      </c>
    </row>
    <row r="19" spans="1:14" ht="39" customHeight="1" x14ac:dyDescent="0.25">
      <c r="A19" s="20">
        <v>16</v>
      </c>
      <c r="B19" s="20" t="s">
        <v>179</v>
      </c>
      <c r="C19" s="26" t="s">
        <v>180</v>
      </c>
      <c r="D19" s="26" t="s">
        <v>181</v>
      </c>
      <c r="E19" s="20" t="s">
        <v>182</v>
      </c>
      <c r="F19" s="29">
        <v>3600</v>
      </c>
      <c r="G19" s="27">
        <v>2901.67</v>
      </c>
      <c r="H19" s="27">
        <v>2641.07</v>
      </c>
      <c r="I19" s="18">
        <v>3600</v>
      </c>
      <c r="J19" s="20">
        <v>600</v>
      </c>
      <c r="K19" s="26" t="s">
        <v>183</v>
      </c>
      <c r="L19" s="26" t="s">
        <v>184</v>
      </c>
      <c r="M19" s="40" t="s">
        <v>21</v>
      </c>
      <c r="N19" s="41">
        <v>41411</v>
      </c>
    </row>
    <row r="20" spans="1:14" ht="39" customHeight="1" x14ac:dyDescent="0.25">
      <c r="A20" s="20">
        <v>17</v>
      </c>
      <c r="B20" s="20" t="s">
        <v>185</v>
      </c>
      <c r="C20" s="26" t="s">
        <v>180</v>
      </c>
      <c r="D20" s="26" t="s">
        <v>186</v>
      </c>
      <c r="E20" s="20" t="s">
        <v>182</v>
      </c>
      <c r="F20" s="29">
        <v>3600</v>
      </c>
      <c r="G20" s="27">
        <v>116.98</v>
      </c>
      <c r="H20" s="27">
        <v>2641.04</v>
      </c>
      <c r="I20" s="18">
        <v>2758.02</v>
      </c>
      <c r="J20" s="20">
        <v>500</v>
      </c>
      <c r="K20" s="26" t="s">
        <v>183</v>
      </c>
      <c r="L20" s="26" t="s">
        <v>184</v>
      </c>
      <c r="M20" s="40" t="s">
        <v>21</v>
      </c>
      <c r="N20" s="41">
        <v>41411</v>
      </c>
    </row>
    <row r="21" spans="1:14" ht="39" customHeight="1" x14ac:dyDescent="0.25">
      <c r="A21" s="20">
        <v>18</v>
      </c>
      <c r="B21" s="20" t="s">
        <v>187</v>
      </c>
      <c r="C21" s="26" t="s">
        <v>188</v>
      </c>
      <c r="D21" s="26" t="s">
        <v>189</v>
      </c>
      <c r="E21" s="20" t="s">
        <v>190</v>
      </c>
      <c r="F21" s="29">
        <v>20910</v>
      </c>
      <c r="G21" s="27">
        <v>1819.32</v>
      </c>
      <c r="H21" s="27">
        <v>4027.65</v>
      </c>
      <c r="I21" s="18">
        <v>5846.97</v>
      </c>
      <c r="J21" s="20">
        <v>300</v>
      </c>
      <c r="K21" s="26" t="s">
        <v>191</v>
      </c>
      <c r="L21" s="26" t="s">
        <v>192</v>
      </c>
      <c r="M21" s="40" t="s">
        <v>21</v>
      </c>
      <c r="N21" s="41">
        <v>41411</v>
      </c>
    </row>
    <row r="22" spans="1:14" ht="39" customHeight="1" x14ac:dyDescent="0.25">
      <c r="A22" s="20">
        <v>19</v>
      </c>
      <c r="B22" s="20" t="s">
        <v>193</v>
      </c>
      <c r="C22" s="26" t="s">
        <v>194</v>
      </c>
      <c r="D22" s="26" t="s">
        <v>195</v>
      </c>
      <c r="E22" s="20" t="s">
        <v>196</v>
      </c>
      <c r="F22" s="29">
        <v>6760</v>
      </c>
      <c r="G22" s="27">
        <v>794.07</v>
      </c>
      <c r="H22" s="27">
        <v>3251.21</v>
      </c>
      <c r="I22" s="18">
        <v>4045.28</v>
      </c>
      <c r="J22" s="20">
        <v>1750</v>
      </c>
      <c r="K22" s="26" t="s">
        <v>197</v>
      </c>
      <c r="L22" s="26" t="s">
        <v>198</v>
      </c>
      <c r="M22" s="40" t="s">
        <v>21</v>
      </c>
      <c r="N22" s="41">
        <v>41411</v>
      </c>
    </row>
    <row r="23" spans="1:14" ht="39" customHeight="1" x14ac:dyDescent="0.25">
      <c r="A23" s="20">
        <v>20</v>
      </c>
      <c r="B23" s="20" t="s">
        <v>199</v>
      </c>
      <c r="C23" s="26" t="s">
        <v>200</v>
      </c>
      <c r="D23" s="26" t="s">
        <v>201</v>
      </c>
      <c r="E23" s="20" t="s">
        <v>202</v>
      </c>
      <c r="F23" s="29">
        <v>3760</v>
      </c>
      <c r="G23" s="27">
        <v>697.86</v>
      </c>
      <c r="H23" s="27">
        <v>3083.77</v>
      </c>
      <c r="I23" s="18">
        <v>3760</v>
      </c>
      <c r="J23" s="20">
        <v>500</v>
      </c>
      <c r="K23" s="26" t="s">
        <v>203</v>
      </c>
      <c r="L23" s="26" t="s">
        <v>204</v>
      </c>
      <c r="M23" s="40" t="s">
        <v>21</v>
      </c>
      <c r="N23" s="41">
        <v>41411</v>
      </c>
    </row>
    <row r="24" spans="1:14" ht="39" customHeight="1" x14ac:dyDescent="0.25">
      <c r="A24" s="20">
        <v>21</v>
      </c>
      <c r="B24" s="20" t="s">
        <v>205</v>
      </c>
      <c r="C24" s="26" t="s">
        <v>206</v>
      </c>
      <c r="D24" s="26" t="s">
        <v>207</v>
      </c>
      <c r="E24" s="20" t="s">
        <v>208</v>
      </c>
      <c r="F24" s="29">
        <v>7660</v>
      </c>
      <c r="G24" s="27">
        <v>891.66</v>
      </c>
      <c r="H24" s="27">
        <v>3197</v>
      </c>
      <c r="I24" s="18">
        <v>4088.66</v>
      </c>
      <c r="J24" s="20">
        <v>1325</v>
      </c>
      <c r="K24" s="26" t="s">
        <v>203</v>
      </c>
      <c r="L24" s="26" t="s">
        <v>209</v>
      </c>
      <c r="M24" s="40" t="s">
        <v>21</v>
      </c>
      <c r="N24" s="41">
        <v>41411</v>
      </c>
    </row>
    <row r="25" spans="1:14" ht="39" customHeight="1" x14ac:dyDescent="0.25">
      <c r="A25" s="20">
        <v>22</v>
      </c>
      <c r="B25" s="20" t="s">
        <v>210</v>
      </c>
      <c r="C25" s="26" t="s">
        <v>211</v>
      </c>
      <c r="D25" s="26" t="s">
        <v>212</v>
      </c>
      <c r="E25" s="20" t="s">
        <v>213</v>
      </c>
      <c r="F25" s="29">
        <v>1260</v>
      </c>
      <c r="G25" s="27">
        <v>411.08</v>
      </c>
      <c r="H25" s="27">
        <v>2950.45</v>
      </c>
      <c r="I25" s="18">
        <v>1260</v>
      </c>
      <c r="J25" s="20">
        <v>1</v>
      </c>
      <c r="K25" s="26" t="s">
        <v>183</v>
      </c>
      <c r="L25" s="31" t="s">
        <v>120</v>
      </c>
      <c r="M25" s="40" t="s">
        <v>21</v>
      </c>
      <c r="N25" s="41">
        <v>41411</v>
      </c>
    </row>
    <row r="26" spans="1:14" ht="39" customHeight="1" x14ac:dyDescent="0.25">
      <c r="A26" s="20">
        <v>23</v>
      </c>
      <c r="B26" s="20" t="s">
        <v>214</v>
      </c>
      <c r="C26" s="26" t="s">
        <v>211</v>
      </c>
      <c r="D26" s="26" t="s">
        <v>215</v>
      </c>
      <c r="E26" s="20" t="s">
        <v>216</v>
      </c>
      <c r="F26" s="29">
        <v>600</v>
      </c>
      <c r="G26" s="27">
        <v>244.71</v>
      </c>
      <c r="H26" s="27">
        <v>2923.75</v>
      </c>
      <c r="I26" s="18">
        <v>600</v>
      </c>
      <c r="J26" s="20">
        <v>600</v>
      </c>
      <c r="K26" s="26" t="s">
        <v>217</v>
      </c>
      <c r="L26" s="31" t="s">
        <v>120</v>
      </c>
      <c r="M26" s="40" t="s">
        <v>21</v>
      </c>
      <c r="N26" s="41">
        <v>41411</v>
      </c>
    </row>
    <row r="27" spans="1:14" ht="39" customHeight="1" x14ac:dyDescent="0.25">
      <c r="A27" s="20">
        <v>24</v>
      </c>
      <c r="B27" s="20" t="s">
        <v>27</v>
      </c>
      <c r="C27" s="26" t="s">
        <v>218</v>
      </c>
      <c r="D27" s="26" t="s">
        <v>219</v>
      </c>
      <c r="E27" s="20" t="s">
        <v>30</v>
      </c>
      <c r="F27" s="29">
        <v>1110</v>
      </c>
      <c r="G27" s="39">
        <v>124.16</v>
      </c>
      <c r="H27" s="27">
        <v>2296.8000000000002</v>
      </c>
      <c r="I27" s="18">
        <v>1110</v>
      </c>
      <c r="J27" s="31" t="s">
        <v>120</v>
      </c>
      <c r="K27" s="31" t="s">
        <v>120</v>
      </c>
      <c r="L27" s="31" t="s">
        <v>120</v>
      </c>
      <c r="M27" s="40" t="s">
        <v>21</v>
      </c>
      <c r="N27" s="41">
        <v>41411</v>
      </c>
    </row>
    <row r="28" spans="1:14" ht="39" customHeight="1" x14ac:dyDescent="0.25">
      <c r="A28" s="20">
        <v>25</v>
      </c>
      <c r="B28" s="20" t="s">
        <v>220</v>
      </c>
      <c r="C28" s="26" t="s">
        <v>221</v>
      </c>
      <c r="D28" s="26" t="s">
        <v>222</v>
      </c>
      <c r="E28" s="20" t="s">
        <v>223</v>
      </c>
      <c r="F28" s="29">
        <v>9330</v>
      </c>
      <c r="G28" s="39">
        <v>3759.53</v>
      </c>
      <c r="H28" s="27">
        <v>4128.2</v>
      </c>
      <c r="I28" s="18">
        <v>7887.73</v>
      </c>
      <c r="J28" s="20">
        <v>400</v>
      </c>
      <c r="K28" s="26" t="s">
        <v>224</v>
      </c>
      <c r="L28" s="26" t="s">
        <v>178</v>
      </c>
      <c r="M28" s="40" t="s">
        <v>21</v>
      </c>
      <c r="N28" s="41">
        <v>41411</v>
      </c>
    </row>
    <row r="29" spans="1:14" ht="39" customHeight="1" x14ac:dyDescent="0.25">
      <c r="A29" s="20">
        <v>26</v>
      </c>
      <c r="B29" s="20" t="s">
        <v>225</v>
      </c>
      <c r="C29" s="26" t="s">
        <v>226</v>
      </c>
      <c r="D29" s="26" t="s">
        <v>227</v>
      </c>
      <c r="E29" s="20" t="s">
        <v>228</v>
      </c>
      <c r="F29" s="29">
        <v>60330</v>
      </c>
      <c r="G29" s="39">
        <v>16608.259999999998</v>
      </c>
      <c r="H29" s="27">
        <v>4097.8100000000004</v>
      </c>
      <c r="I29" s="18">
        <v>20706.07</v>
      </c>
      <c r="J29" s="20">
        <v>10500</v>
      </c>
      <c r="K29" s="26" t="s">
        <v>184</v>
      </c>
      <c r="L29" s="26" t="s">
        <v>229</v>
      </c>
      <c r="M29" s="40" t="s">
        <v>21</v>
      </c>
      <c r="N29" s="41">
        <v>41411</v>
      </c>
    </row>
    <row r="30" spans="1:14" ht="39" customHeight="1" x14ac:dyDescent="0.25">
      <c r="A30" s="20">
        <v>27</v>
      </c>
      <c r="B30" s="20" t="s">
        <v>230</v>
      </c>
      <c r="C30" s="26" t="s">
        <v>231</v>
      </c>
      <c r="D30" s="26" t="s">
        <v>232</v>
      </c>
      <c r="E30" s="20" t="s">
        <v>233</v>
      </c>
      <c r="F30" s="29">
        <v>12620</v>
      </c>
      <c r="G30" s="27">
        <v>2148.9</v>
      </c>
      <c r="H30" s="27">
        <v>3986.81</v>
      </c>
      <c r="I30" s="18">
        <v>6135.71</v>
      </c>
      <c r="J30" s="20">
        <v>1</v>
      </c>
      <c r="K30" s="26" t="s">
        <v>234</v>
      </c>
      <c r="L30" s="31" t="s">
        <v>120</v>
      </c>
      <c r="M30" s="40" t="s">
        <v>21</v>
      </c>
      <c r="N30" s="41">
        <v>41411</v>
      </c>
    </row>
    <row r="31" spans="1:14" ht="45" x14ac:dyDescent="0.25">
      <c r="A31" s="20">
        <v>28</v>
      </c>
      <c r="B31" s="20" t="s">
        <v>235</v>
      </c>
      <c r="C31" s="26" t="s">
        <v>236</v>
      </c>
      <c r="D31" s="26" t="s">
        <v>237</v>
      </c>
      <c r="E31" s="20" t="s">
        <v>238</v>
      </c>
      <c r="F31" s="29">
        <v>35750</v>
      </c>
      <c r="G31" s="27">
        <v>5989.54</v>
      </c>
      <c r="H31" s="27">
        <v>2859.47</v>
      </c>
      <c r="I31" s="18">
        <v>8849.01</v>
      </c>
      <c r="J31" s="20">
        <v>7000</v>
      </c>
      <c r="K31" s="26" t="s">
        <v>239</v>
      </c>
      <c r="L31" s="26" t="s">
        <v>152</v>
      </c>
      <c r="M31" s="40" t="s">
        <v>21</v>
      </c>
      <c r="N31" s="41">
        <v>41411</v>
      </c>
    </row>
    <row r="32" spans="1:14" ht="39" customHeight="1" x14ac:dyDescent="0.25">
      <c r="A32" s="20">
        <v>29</v>
      </c>
      <c r="B32" s="20" t="s">
        <v>240</v>
      </c>
      <c r="C32" s="26" t="s">
        <v>241</v>
      </c>
      <c r="D32" s="26" t="s">
        <v>242</v>
      </c>
      <c r="E32" s="20" t="s">
        <v>243</v>
      </c>
      <c r="F32" s="29">
        <v>8550</v>
      </c>
      <c r="G32" s="27">
        <v>984.32</v>
      </c>
      <c r="H32" s="27">
        <v>2936.57</v>
      </c>
      <c r="I32" s="18">
        <v>3920.89</v>
      </c>
      <c r="J32" s="20">
        <v>1</v>
      </c>
      <c r="K32" s="26" t="s">
        <v>178</v>
      </c>
      <c r="L32" s="31" t="s">
        <v>120</v>
      </c>
      <c r="M32" s="40" t="s">
        <v>21</v>
      </c>
      <c r="N32" s="41">
        <v>41411</v>
      </c>
    </row>
    <row r="33" spans="1:14" ht="39" customHeight="1" x14ac:dyDescent="0.25">
      <c r="A33" s="20">
        <v>30</v>
      </c>
      <c r="B33" s="20" t="s">
        <v>244</v>
      </c>
      <c r="C33" s="26" t="s">
        <v>245</v>
      </c>
      <c r="D33" s="26" t="s">
        <v>246</v>
      </c>
      <c r="E33" s="20" t="s">
        <v>247</v>
      </c>
      <c r="F33" s="29">
        <v>31200</v>
      </c>
      <c r="G33" s="27">
        <v>2049.39</v>
      </c>
      <c r="H33" s="27">
        <v>3651.52</v>
      </c>
      <c r="I33" s="18">
        <v>5700.91</v>
      </c>
      <c r="J33" s="20">
        <v>7500</v>
      </c>
      <c r="K33" s="26" t="s">
        <v>248</v>
      </c>
      <c r="L33" s="26" t="s">
        <v>152</v>
      </c>
      <c r="M33" s="40" t="s">
        <v>21</v>
      </c>
      <c r="N33" s="41">
        <v>41411</v>
      </c>
    </row>
    <row r="34" spans="1:14" ht="39" customHeight="1" x14ac:dyDescent="0.25">
      <c r="A34" s="20">
        <v>31</v>
      </c>
      <c r="B34" s="20" t="s">
        <v>32</v>
      </c>
      <c r="C34" s="26" t="s">
        <v>33</v>
      </c>
      <c r="D34" s="26" t="s">
        <v>98</v>
      </c>
      <c r="E34" s="20" t="s">
        <v>35</v>
      </c>
      <c r="F34" s="29">
        <v>370</v>
      </c>
      <c r="G34" s="27">
        <v>112.84</v>
      </c>
      <c r="H34" s="27">
        <v>880.97</v>
      </c>
      <c r="I34" s="18">
        <v>370</v>
      </c>
      <c r="J34" s="31" t="s">
        <v>120</v>
      </c>
      <c r="K34" s="31" t="s">
        <v>120</v>
      </c>
      <c r="L34" s="31" t="s">
        <v>120</v>
      </c>
      <c r="M34" s="40" t="s">
        <v>21</v>
      </c>
      <c r="N34" s="41">
        <v>41411</v>
      </c>
    </row>
    <row r="35" spans="1:14" ht="39" customHeight="1" x14ac:dyDescent="0.25">
      <c r="A35" s="20">
        <v>32</v>
      </c>
      <c r="B35" s="20" t="s">
        <v>36</v>
      </c>
      <c r="C35" s="26" t="s">
        <v>33</v>
      </c>
      <c r="D35" s="26" t="s">
        <v>98</v>
      </c>
      <c r="E35" s="20" t="s">
        <v>99</v>
      </c>
      <c r="F35" s="29">
        <v>370</v>
      </c>
      <c r="G35" s="27">
        <v>71.78</v>
      </c>
      <c r="H35" s="27">
        <v>880.97</v>
      </c>
      <c r="I35" s="18">
        <v>370</v>
      </c>
      <c r="J35" s="31" t="s">
        <v>120</v>
      </c>
      <c r="K35" s="31" t="s">
        <v>120</v>
      </c>
      <c r="L35" s="31" t="s">
        <v>120</v>
      </c>
      <c r="M35" s="40" t="s">
        <v>21</v>
      </c>
      <c r="N35" s="41">
        <v>41411</v>
      </c>
    </row>
    <row r="36" spans="1:14" ht="39" customHeight="1" x14ac:dyDescent="0.25">
      <c r="A36" s="20">
        <v>33</v>
      </c>
      <c r="B36" s="20" t="s">
        <v>37</v>
      </c>
      <c r="C36" s="26" t="s">
        <v>33</v>
      </c>
      <c r="D36" s="26" t="s">
        <v>98</v>
      </c>
      <c r="E36" s="20" t="s">
        <v>100</v>
      </c>
      <c r="F36" s="29">
        <v>130</v>
      </c>
      <c r="G36" s="27">
        <v>55.77</v>
      </c>
      <c r="H36" s="27">
        <v>880.91</v>
      </c>
      <c r="I36" s="18">
        <v>130</v>
      </c>
      <c r="J36" s="31" t="s">
        <v>120</v>
      </c>
      <c r="K36" s="31" t="s">
        <v>120</v>
      </c>
      <c r="L36" s="31" t="s">
        <v>120</v>
      </c>
      <c r="M36" s="40" t="s">
        <v>21</v>
      </c>
      <c r="N36" s="41">
        <v>41411</v>
      </c>
    </row>
    <row r="37" spans="1:14" ht="39" customHeight="1" x14ac:dyDescent="0.25">
      <c r="A37" s="20">
        <v>34</v>
      </c>
      <c r="B37" s="20" t="s">
        <v>249</v>
      </c>
      <c r="C37" s="26" t="s">
        <v>250</v>
      </c>
      <c r="D37" s="26" t="s">
        <v>251</v>
      </c>
      <c r="E37" s="20" t="s">
        <v>252</v>
      </c>
      <c r="F37" s="29">
        <v>16700</v>
      </c>
      <c r="G37" s="27">
        <v>1298.9100000000001</v>
      </c>
      <c r="H37" s="27">
        <v>3036.43</v>
      </c>
      <c r="I37" s="18">
        <v>4335.34</v>
      </c>
      <c r="J37" s="20">
        <v>6850</v>
      </c>
      <c r="K37" s="26" t="s">
        <v>253</v>
      </c>
      <c r="L37" s="26" t="s">
        <v>152</v>
      </c>
      <c r="M37" s="40" t="s">
        <v>21</v>
      </c>
      <c r="N37" s="41">
        <v>41411</v>
      </c>
    </row>
    <row r="38" spans="1:14" ht="39" customHeight="1" x14ac:dyDescent="0.25">
      <c r="A38" s="20">
        <v>35</v>
      </c>
      <c r="B38" s="20" t="s">
        <v>254</v>
      </c>
      <c r="C38" s="26" t="s">
        <v>255</v>
      </c>
      <c r="D38" s="26" t="s">
        <v>195</v>
      </c>
      <c r="E38" s="20" t="s">
        <v>256</v>
      </c>
      <c r="F38" s="29">
        <v>1910</v>
      </c>
      <c r="G38" s="27">
        <v>431.18</v>
      </c>
      <c r="H38" s="27">
        <v>3535.62</v>
      </c>
      <c r="I38" s="18">
        <v>1910</v>
      </c>
      <c r="J38" s="20">
        <v>1910</v>
      </c>
      <c r="K38" s="26" t="s">
        <v>198</v>
      </c>
      <c r="L38" s="31" t="s">
        <v>120</v>
      </c>
      <c r="M38" s="40" t="s">
        <v>21</v>
      </c>
      <c r="N38" s="41">
        <v>41411</v>
      </c>
    </row>
    <row r="39" spans="1:14" ht="39" customHeight="1" x14ac:dyDescent="0.25">
      <c r="A39" s="20">
        <v>36</v>
      </c>
      <c r="B39" s="20" t="s">
        <v>257</v>
      </c>
      <c r="C39" s="26" t="s">
        <v>258</v>
      </c>
      <c r="D39" s="26" t="s">
        <v>259</v>
      </c>
      <c r="E39" s="20" t="s">
        <v>260</v>
      </c>
      <c r="F39" s="29">
        <v>430</v>
      </c>
      <c r="G39" s="27">
        <v>181.92</v>
      </c>
      <c r="H39" s="27">
        <v>2887.55</v>
      </c>
      <c r="I39" s="18">
        <v>430</v>
      </c>
      <c r="J39" s="20">
        <v>1</v>
      </c>
      <c r="K39" s="26" t="s">
        <v>152</v>
      </c>
      <c r="L39" s="31" t="s">
        <v>120</v>
      </c>
      <c r="M39" s="40" t="s">
        <v>21</v>
      </c>
      <c r="N39" s="41">
        <v>41411</v>
      </c>
    </row>
    <row r="40" spans="1:14" ht="45" customHeight="1" x14ac:dyDescent="0.25">
      <c r="A40" s="20">
        <v>37</v>
      </c>
      <c r="B40" s="20" t="s">
        <v>261</v>
      </c>
      <c r="C40" s="20" t="s">
        <v>262</v>
      </c>
      <c r="D40" s="26" t="s">
        <v>263</v>
      </c>
      <c r="E40" s="20" t="s">
        <v>264</v>
      </c>
      <c r="F40" s="29">
        <v>2800</v>
      </c>
      <c r="G40" s="27">
        <v>550.73</v>
      </c>
      <c r="H40" s="27">
        <v>2899.32</v>
      </c>
      <c r="I40" s="18">
        <v>2800</v>
      </c>
      <c r="J40" s="20">
        <v>1</v>
      </c>
      <c r="K40" s="26" t="s">
        <v>265</v>
      </c>
      <c r="L40" s="31" t="s">
        <v>120</v>
      </c>
      <c r="M40" s="40" t="s">
        <v>21</v>
      </c>
      <c r="N40" s="41">
        <v>41411</v>
      </c>
    </row>
    <row r="41" spans="1:14" ht="45" customHeight="1" x14ac:dyDescent="0.25">
      <c r="A41" s="20">
        <v>38</v>
      </c>
      <c r="B41" s="20" t="s">
        <v>266</v>
      </c>
      <c r="C41" s="26" t="s">
        <v>267</v>
      </c>
      <c r="D41" s="26" t="s">
        <v>268</v>
      </c>
      <c r="E41" s="20" t="s">
        <v>269</v>
      </c>
      <c r="F41" s="29">
        <v>26770</v>
      </c>
      <c r="G41" s="27">
        <v>3345.14</v>
      </c>
      <c r="H41" s="27">
        <v>2962.84</v>
      </c>
      <c r="I41" s="18">
        <v>6307.98</v>
      </c>
      <c r="J41" s="20">
        <v>2650</v>
      </c>
      <c r="K41" s="26" t="s">
        <v>203</v>
      </c>
      <c r="L41" s="26" t="s">
        <v>270</v>
      </c>
      <c r="M41" s="40" t="s">
        <v>21</v>
      </c>
      <c r="N41" s="41">
        <v>41411</v>
      </c>
    </row>
    <row r="42" spans="1:14" ht="45" customHeight="1" x14ac:dyDescent="0.25">
      <c r="A42" s="20">
        <v>39</v>
      </c>
      <c r="B42" s="20" t="s">
        <v>39</v>
      </c>
      <c r="C42" s="26" t="s">
        <v>40</v>
      </c>
      <c r="D42" s="26" t="s">
        <v>101</v>
      </c>
      <c r="E42" s="20" t="s">
        <v>42</v>
      </c>
      <c r="F42" s="29">
        <v>760</v>
      </c>
      <c r="G42" s="27">
        <v>434.47</v>
      </c>
      <c r="H42" s="27">
        <v>4140.2299999999996</v>
      </c>
      <c r="I42" s="18">
        <v>760</v>
      </c>
      <c r="J42" s="31" t="s">
        <v>120</v>
      </c>
      <c r="K42" s="31" t="s">
        <v>120</v>
      </c>
      <c r="L42" s="31" t="s">
        <v>120</v>
      </c>
      <c r="M42" s="40" t="s">
        <v>21</v>
      </c>
      <c r="N42" s="41">
        <v>41411</v>
      </c>
    </row>
    <row r="43" spans="1:14" x14ac:dyDescent="0.25">
      <c r="A43" s="299" t="s">
        <v>74</v>
      </c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</row>
    <row r="44" spans="1:14" x14ac:dyDescent="0.25">
      <c r="C44" s="20"/>
      <c r="D44" s="20"/>
    </row>
    <row r="45" spans="1:14" x14ac:dyDescent="0.25">
      <c r="C45" s="20"/>
      <c r="D45" s="20"/>
    </row>
    <row r="46" spans="1:14" x14ac:dyDescent="0.25">
      <c r="C46" s="20"/>
      <c r="D46" s="20"/>
    </row>
    <row r="47" spans="1:14" x14ac:dyDescent="0.25">
      <c r="C47" s="20"/>
      <c r="D47" s="20"/>
    </row>
    <row r="48" spans="1:14" x14ac:dyDescent="0.25">
      <c r="C48" s="20"/>
      <c r="D48" s="20"/>
    </row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  <row r="238" s="20" customFormat="1" x14ac:dyDescent="0.25"/>
    <row r="239" s="20" customFormat="1" x14ac:dyDescent="0.25"/>
    <row r="240" s="20" customFormat="1" x14ac:dyDescent="0.25"/>
    <row r="241" s="20" customFormat="1" x14ac:dyDescent="0.25"/>
    <row r="242" s="20" customFormat="1" x14ac:dyDescent="0.25"/>
    <row r="243" s="20" customFormat="1" x14ac:dyDescent="0.25"/>
    <row r="244" s="20" customFormat="1" x14ac:dyDescent="0.25"/>
    <row r="245" s="20" customFormat="1" x14ac:dyDescent="0.25"/>
    <row r="246" s="20" customFormat="1" x14ac:dyDescent="0.25"/>
    <row r="247" s="20" customFormat="1" x14ac:dyDescent="0.25"/>
    <row r="248" s="20" customFormat="1" x14ac:dyDescent="0.25"/>
    <row r="249" s="20" customFormat="1" x14ac:dyDescent="0.25"/>
    <row r="250" s="20" customFormat="1" x14ac:dyDescent="0.25"/>
    <row r="251" s="20" customFormat="1" x14ac:dyDescent="0.25"/>
    <row r="252" s="20" customFormat="1" x14ac:dyDescent="0.25"/>
    <row r="253" s="20" customFormat="1" x14ac:dyDescent="0.25"/>
    <row r="254" s="20" customFormat="1" x14ac:dyDescent="0.25"/>
    <row r="255" s="20" customFormat="1" x14ac:dyDescent="0.25"/>
    <row r="256" s="20" customFormat="1" x14ac:dyDescent="0.25"/>
    <row r="257" s="20" customFormat="1" x14ac:dyDescent="0.25"/>
    <row r="258" s="20" customFormat="1" x14ac:dyDescent="0.25"/>
    <row r="259" s="20" customFormat="1" x14ac:dyDescent="0.25"/>
    <row r="260" s="20" customFormat="1" x14ac:dyDescent="0.25"/>
    <row r="261" s="20" customFormat="1" x14ac:dyDescent="0.25"/>
    <row r="262" s="20" customFormat="1" x14ac:dyDescent="0.25"/>
    <row r="263" s="20" customFormat="1" x14ac:dyDescent="0.25"/>
    <row r="264" s="20" customFormat="1" x14ac:dyDescent="0.25"/>
    <row r="265" s="20" customFormat="1" x14ac:dyDescent="0.25"/>
    <row r="266" s="20" customFormat="1" x14ac:dyDescent="0.25"/>
    <row r="267" s="20" customFormat="1" x14ac:dyDescent="0.25"/>
    <row r="268" s="20" customFormat="1" x14ac:dyDescent="0.25"/>
    <row r="269" s="20" customFormat="1" x14ac:dyDescent="0.25"/>
    <row r="270" s="20" customFormat="1" x14ac:dyDescent="0.25"/>
    <row r="271" s="20" customFormat="1" x14ac:dyDescent="0.25"/>
    <row r="272" s="20" customFormat="1" x14ac:dyDescent="0.25"/>
    <row r="273" s="20" customFormat="1" x14ac:dyDescent="0.25"/>
    <row r="274" s="20" customFormat="1" x14ac:dyDescent="0.25"/>
    <row r="275" s="20" customFormat="1" x14ac:dyDescent="0.25"/>
    <row r="276" s="20" customFormat="1" x14ac:dyDescent="0.25"/>
    <row r="277" s="20" customFormat="1" x14ac:dyDescent="0.25"/>
    <row r="278" s="20" customFormat="1" x14ac:dyDescent="0.25"/>
    <row r="279" s="20" customFormat="1" x14ac:dyDescent="0.25"/>
    <row r="280" s="20" customFormat="1" x14ac:dyDescent="0.25"/>
    <row r="281" s="20" customFormat="1" x14ac:dyDescent="0.25"/>
    <row r="282" s="20" customFormat="1" x14ac:dyDescent="0.25"/>
    <row r="283" s="20" customFormat="1" x14ac:dyDescent="0.25"/>
    <row r="284" s="20" customFormat="1" x14ac:dyDescent="0.25"/>
    <row r="285" s="20" customFormat="1" x14ac:dyDescent="0.25"/>
    <row r="286" s="20" customFormat="1" x14ac:dyDescent="0.25"/>
    <row r="287" s="20" customFormat="1" x14ac:dyDescent="0.25"/>
    <row r="288" s="20" customFormat="1" x14ac:dyDescent="0.25"/>
    <row r="289" s="20" customFormat="1" x14ac:dyDescent="0.25"/>
    <row r="290" s="20" customFormat="1" x14ac:dyDescent="0.25"/>
    <row r="291" s="20" customFormat="1" x14ac:dyDescent="0.25"/>
    <row r="292" s="20" customFormat="1" x14ac:dyDescent="0.25"/>
    <row r="293" s="20" customFormat="1" x14ac:dyDescent="0.25"/>
    <row r="294" s="20" customFormat="1" x14ac:dyDescent="0.25"/>
    <row r="295" s="20" customFormat="1" x14ac:dyDescent="0.25"/>
    <row r="296" s="20" customFormat="1" x14ac:dyDescent="0.25"/>
    <row r="297" s="20" customFormat="1" x14ac:dyDescent="0.25"/>
    <row r="298" s="20" customFormat="1" x14ac:dyDescent="0.25"/>
    <row r="299" s="20" customFormat="1" x14ac:dyDescent="0.25"/>
    <row r="300" s="20" customFormat="1" x14ac:dyDescent="0.25"/>
    <row r="301" s="20" customFormat="1" x14ac:dyDescent="0.25"/>
    <row r="302" s="20" customFormat="1" x14ac:dyDescent="0.25"/>
    <row r="303" s="20" customFormat="1" x14ac:dyDescent="0.25"/>
    <row r="304" s="20" customFormat="1" x14ac:dyDescent="0.25"/>
    <row r="305" s="20" customFormat="1" x14ac:dyDescent="0.25"/>
    <row r="306" s="20" customFormat="1" x14ac:dyDescent="0.25"/>
    <row r="307" s="20" customFormat="1" x14ac:dyDescent="0.25"/>
    <row r="308" s="20" customFormat="1" x14ac:dyDescent="0.25"/>
    <row r="309" s="20" customFormat="1" x14ac:dyDescent="0.25"/>
    <row r="310" s="20" customFormat="1" x14ac:dyDescent="0.25"/>
    <row r="311" s="20" customFormat="1" x14ac:dyDescent="0.25"/>
    <row r="312" s="20" customFormat="1" x14ac:dyDescent="0.25"/>
    <row r="313" s="20" customFormat="1" x14ac:dyDescent="0.25"/>
    <row r="314" s="20" customFormat="1" x14ac:dyDescent="0.25"/>
    <row r="315" s="20" customFormat="1" x14ac:dyDescent="0.25"/>
    <row r="316" s="20" customFormat="1" x14ac:dyDescent="0.25"/>
    <row r="317" s="20" customFormat="1" x14ac:dyDescent="0.25"/>
    <row r="318" s="20" customFormat="1" x14ac:dyDescent="0.25"/>
    <row r="319" s="20" customFormat="1" x14ac:dyDescent="0.25"/>
    <row r="320" s="20" customFormat="1" x14ac:dyDescent="0.25"/>
    <row r="321" s="20" customFormat="1" x14ac:dyDescent="0.25"/>
    <row r="322" s="20" customFormat="1" x14ac:dyDescent="0.25"/>
    <row r="323" s="20" customFormat="1" x14ac:dyDescent="0.25"/>
    <row r="324" s="20" customFormat="1" x14ac:dyDescent="0.25"/>
    <row r="325" s="20" customFormat="1" x14ac:dyDescent="0.25"/>
    <row r="326" s="20" customFormat="1" x14ac:dyDescent="0.25"/>
    <row r="327" s="20" customFormat="1" x14ac:dyDescent="0.25"/>
    <row r="328" s="20" customFormat="1" x14ac:dyDescent="0.25"/>
    <row r="329" s="20" customFormat="1" x14ac:dyDescent="0.25"/>
    <row r="330" s="20" customFormat="1" x14ac:dyDescent="0.25"/>
    <row r="331" s="20" customFormat="1" x14ac:dyDescent="0.25"/>
    <row r="332" s="20" customFormat="1" x14ac:dyDescent="0.25"/>
    <row r="333" s="20" customFormat="1" x14ac:dyDescent="0.25"/>
    <row r="334" s="20" customFormat="1" x14ac:dyDescent="0.25"/>
    <row r="335" s="20" customFormat="1" x14ac:dyDescent="0.25"/>
    <row r="336" s="20" customFormat="1" x14ac:dyDescent="0.25"/>
    <row r="337" s="20" customFormat="1" x14ac:dyDescent="0.25"/>
    <row r="338" s="20" customFormat="1" x14ac:dyDescent="0.25"/>
    <row r="339" s="20" customFormat="1" x14ac:dyDescent="0.25"/>
    <row r="340" s="20" customFormat="1" x14ac:dyDescent="0.25"/>
    <row r="341" s="20" customFormat="1" x14ac:dyDescent="0.25"/>
    <row r="342" s="20" customFormat="1" x14ac:dyDescent="0.25"/>
    <row r="343" s="20" customFormat="1" x14ac:dyDescent="0.25"/>
    <row r="344" s="20" customFormat="1" x14ac:dyDescent="0.25"/>
    <row r="345" s="20" customFormat="1" x14ac:dyDescent="0.25"/>
    <row r="346" s="20" customFormat="1" x14ac:dyDescent="0.25"/>
    <row r="347" s="20" customFormat="1" x14ac:dyDescent="0.25"/>
    <row r="348" s="20" customFormat="1" x14ac:dyDescent="0.25"/>
    <row r="349" s="20" customFormat="1" x14ac:dyDescent="0.25"/>
    <row r="350" s="20" customFormat="1" x14ac:dyDescent="0.25"/>
    <row r="351" s="20" customFormat="1" x14ac:dyDescent="0.25"/>
    <row r="352" s="20" customFormat="1" x14ac:dyDescent="0.25"/>
    <row r="353" s="20" customFormat="1" x14ac:dyDescent="0.25"/>
    <row r="354" s="20" customFormat="1" x14ac:dyDescent="0.25"/>
    <row r="355" s="20" customFormat="1" x14ac:dyDescent="0.25"/>
    <row r="356" s="20" customFormat="1" x14ac:dyDescent="0.25"/>
    <row r="357" s="20" customFormat="1" x14ac:dyDescent="0.25"/>
    <row r="358" s="20" customFormat="1" x14ac:dyDescent="0.25"/>
    <row r="359" s="20" customFormat="1" x14ac:dyDescent="0.25"/>
  </sheetData>
  <mergeCells count="2">
    <mergeCell ref="A43:N43"/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3"/>
  <sheetViews>
    <sheetView workbookViewId="0">
      <selection activeCell="Q15" sqref="Q15"/>
    </sheetView>
  </sheetViews>
  <sheetFormatPr defaultRowHeight="15" x14ac:dyDescent="0.25"/>
  <cols>
    <col min="1" max="1" width="5.42578125" style="20" bestFit="1" customWidth="1"/>
    <col min="2" max="2" width="15.5703125" style="20" bestFit="1" customWidth="1"/>
    <col min="3" max="3" width="10" style="26" bestFit="1" customWidth="1"/>
    <col min="4" max="4" width="19" style="26" bestFit="1" customWidth="1"/>
    <col min="5" max="5" width="10.140625" style="20" bestFit="1" customWidth="1"/>
    <col min="6" max="6" width="12.85546875" style="29" bestFit="1" customWidth="1"/>
    <col min="7" max="7" width="10" style="27" customWidth="1"/>
    <col min="8" max="8" width="9.140625" style="27" bestFit="1" customWidth="1"/>
    <col min="9" max="9" width="9.140625" style="18" bestFit="1" customWidth="1"/>
    <col min="10" max="10" width="9.85546875" style="32" customWidth="1"/>
    <col min="11" max="11" width="12" style="20" bestFit="1" customWidth="1"/>
    <col min="12" max="12" width="12.140625" style="20" customWidth="1"/>
    <col min="13" max="13" width="7.7109375" style="20" bestFit="1" customWidth="1"/>
    <col min="14" max="14" width="15.7109375" style="20" bestFit="1" customWidth="1"/>
    <col min="15" max="16384" width="9.140625" style="20"/>
  </cols>
  <sheetData>
    <row r="1" spans="1:16" x14ac:dyDescent="0.25">
      <c r="A1" s="295" t="s">
        <v>94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3"/>
      <c r="P1" s="3"/>
    </row>
    <row r="2" spans="1:16" x14ac:dyDescent="0.25">
      <c r="A2" s="16"/>
      <c r="B2" s="3"/>
      <c r="C2" s="4"/>
      <c r="D2" s="4"/>
      <c r="E2" s="3"/>
      <c r="F2" s="5"/>
      <c r="G2" s="18"/>
      <c r="H2" s="18"/>
      <c r="J2" s="30"/>
      <c r="K2" s="3"/>
      <c r="L2" s="3"/>
      <c r="M2" s="3"/>
      <c r="N2" s="3"/>
      <c r="O2" s="3"/>
      <c r="P2" s="3"/>
    </row>
    <row r="3" spans="1:16" ht="30" x14ac:dyDescent="0.2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1" t="s">
        <v>95</v>
      </c>
      <c r="H3" s="15" t="s">
        <v>9</v>
      </c>
      <c r="I3" s="11" t="s">
        <v>96</v>
      </c>
      <c r="J3" s="74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3"/>
      <c r="P3" s="3"/>
    </row>
    <row r="4" spans="1:16" ht="45" customHeight="1" x14ac:dyDescent="0.25">
      <c r="A4" s="3">
        <v>1</v>
      </c>
      <c r="B4" s="3" t="s">
        <v>22</v>
      </c>
      <c r="C4" s="4" t="s">
        <v>23</v>
      </c>
      <c r="D4" s="4" t="s">
        <v>97</v>
      </c>
      <c r="E4" s="3" t="s">
        <v>25</v>
      </c>
      <c r="F4" s="5">
        <v>340</v>
      </c>
      <c r="G4" s="18">
        <v>147.18</v>
      </c>
      <c r="H4" s="18">
        <v>3215.42</v>
      </c>
      <c r="I4" s="18">
        <f>MIN(G4+H4,F4)</f>
        <v>340</v>
      </c>
      <c r="J4" s="75" t="s">
        <v>120</v>
      </c>
      <c r="K4" s="75" t="s">
        <v>120</v>
      </c>
      <c r="L4" s="75" t="s">
        <v>120</v>
      </c>
      <c r="M4" s="7" t="s">
        <v>21</v>
      </c>
      <c r="N4" s="8">
        <v>41565</v>
      </c>
      <c r="O4" s="3"/>
      <c r="P4" s="3"/>
    </row>
    <row r="5" spans="1:16" ht="45" customHeight="1" x14ac:dyDescent="0.25">
      <c r="A5" s="3">
        <v>2</v>
      </c>
      <c r="B5" s="3" t="s">
        <v>27</v>
      </c>
      <c r="C5" s="4" t="s">
        <v>28</v>
      </c>
      <c r="D5" s="4" t="s">
        <v>29</v>
      </c>
      <c r="E5" s="3" t="s">
        <v>30</v>
      </c>
      <c r="F5" s="5">
        <v>1110</v>
      </c>
      <c r="G5" s="18">
        <v>128.18</v>
      </c>
      <c r="H5" s="18">
        <v>2691.6</v>
      </c>
      <c r="I5" s="18">
        <f t="shared" ref="I5:I13" si="0">MIN(G5+H5,F5)</f>
        <v>1110</v>
      </c>
      <c r="J5" s="75" t="s">
        <v>120</v>
      </c>
      <c r="K5" s="75" t="s">
        <v>120</v>
      </c>
      <c r="L5" s="75" t="s">
        <v>120</v>
      </c>
      <c r="M5" s="7" t="s">
        <v>21</v>
      </c>
      <c r="N5" s="8">
        <v>41565</v>
      </c>
      <c r="O5" s="3"/>
      <c r="P5" s="3"/>
    </row>
    <row r="6" spans="1:16" ht="45" customHeight="1" x14ac:dyDescent="0.25">
      <c r="A6" s="3">
        <v>3</v>
      </c>
      <c r="B6" s="3" t="s">
        <v>32</v>
      </c>
      <c r="C6" s="4" t="s">
        <v>33</v>
      </c>
      <c r="D6" s="4" t="s">
        <v>98</v>
      </c>
      <c r="E6" s="3" t="s">
        <v>35</v>
      </c>
      <c r="F6" s="5">
        <v>370</v>
      </c>
      <c r="G6" s="18">
        <v>116.61</v>
      </c>
      <c r="H6" s="18">
        <v>1253.43</v>
      </c>
      <c r="I6" s="18">
        <f t="shared" si="0"/>
        <v>370</v>
      </c>
      <c r="J6" s="75" t="s">
        <v>120</v>
      </c>
      <c r="K6" s="75" t="s">
        <v>120</v>
      </c>
      <c r="L6" s="75" t="s">
        <v>120</v>
      </c>
      <c r="M6" s="7" t="s">
        <v>21</v>
      </c>
      <c r="N6" s="8">
        <v>41565</v>
      </c>
      <c r="O6" s="3"/>
      <c r="P6" s="3"/>
    </row>
    <row r="7" spans="1:16" ht="45" customHeight="1" x14ac:dyDescent="0.25">
      <c r="A7" s="3">
        <v>4</v>
      </c>
      <c r="B7" s="3" t="s">
        <v>36</v>
      </c>
      <c r="C7" s="4" t="s">
        <v>33</v>
      </c>
      <c r="D7" s="4" t="s">
        <v>98</v>
      </c>
      <c r="E7" s="3" t="s">
        <v>99</v>
      </c>
      <c r="F7" s="5">
        <v>370</v>
      </c>
      <c r="G7" s="18">
        <v>73.72</v>
      </c>
      <c r="H7" s="18">
        <v>1253.43</v>
      </c>
      <c r="I7" s="18">
        <f t="shared" si="0"/>
        <v>370</v>
      </c>
      <c r="J7" s="75" t="s">
        <v>120</v>
      </c>
      <c r="K7" s="75" t="s">
        <v>120</v>
      </c>
      <c r="L7" s="75" t="s">
        <v>120</v>
      </c>
      <c r="M7" s="7" t="s">
        <v>21</v>
      </c>
      <c r="N7" s="8">
        <v>41565</v>
      </c>
      <c r="O7" s="3"/>
      <c r="P7" s="3"/>
    </row>
    <row r="8" spans="1:16" ht="45" customHeight="1" x14ac:dyDescent="0.25">
      <c r="A8" s="3">
        <v>5</v>
      </c>
      <c r="B8" s="3" t="s">
        <v>37</v>
      </c>
      <c r="C8" s="4" t="s">
        <v>33</v>
      </c>
      <c r="D8" s="4" t="s">
        <v>98</v>
      </c>
      <c r="E8" s="3" t="s">
        <v>100</v>
      </c>
      <c r="F8" s="5">
        <v>130</v>
      </c>
      <c r="G8" s="18">
        <v>57.08</v>
      </c>
      <c r="H8" s="18">
        <v>1253.43</v>
      </c>
      <c r="I8" s="18">
        <f t="shared" si="0"/>
        <v>130</v>
      </c>
      <c r="J8" s="75" t="s">
        <v>120</v>
      </c>
      <c r="K8" s="75" t="s">
        <v>120</v>
      </c>
      <c r="L8" s="75" t="s">
        <v>120</v>
      </c>
      <c r="M8" s="7" t="s">
        <v>21</v>
      </c>
      <c r="N8" s="8">
        <v>41565</v>
      </c>
      <c r="O8" s="3"/>
      <c r="P8" s="3"/>
    </row>
    <row r="9" spans="1:16" ht="45" customHeight="1" x14ac:dyDescent="0.25">
      <c r="A9" s="3">
        <v>6</v>
      </c>
      <c r="B9" s="3" t="s">
        <v>39</v>
      </c>
      <c r="C9" s="4" t="s">
        <v>40</v>
      </c>
      <c r="D9" s="4" t="s">
        <v>101</v>
      </c>
      <c r="E9" s="3" t="s">
        <v>42</v>
      </c>
      <c r="F9" s="3">
        <v>760</v>
      </c>
      <c r="G9" s="18">
        <v>445.28</v>
      </c>
      <c r="H9" s="18">
        <v>3987.91</v>
      </c>
      <c r="I9" s="18">
        <f t="shared" si="0"/>
        <v>760</v>
      </c>
      <c r="J9" s="75" t="s">
        <v>120</v>
      </c>
      <c r="K9" s="75" t="s">
        <v>120</v>
      </c>
      <c r="L9" s="75" t="s">
        <v>120</v>
      </c>
      <c r="M9" s="7" t="s">
        <v>21</v>
      </c>
      <c r="N9" s="8">
        <v>41565</v>
      </c>
      <c r="O9" s="3"/>
      <c r="P9" s="3"/>
    </row>
    <row r="10" spans="1:16" ht="45" customHeight="1" x14ac:dyDescent="0.25">
      <c r="A10" s="3">
        <v>7</v>
      </c>
      <c r="B10" s="3" t="s">
        <v>102</v>
      </c>
      <c r="C10" s="4" t="s">
        <v>103</v>
      </c>
      <c r="D10" s="4" t="s">
        <v>104</v>
      </c>
      <c r="E10" s="3" t="s">
        <v>105</v>
      </c>
      <c r="F10" s="5">
        <v>310</v>
      </c>
      <c r="G10" s="18">
        <v>55.1</v>
      </c>
      <c r="H10" s="18">
        <v>2377.94</v>
      </c>
      <c r="I10" s="18">
        <f t="shared" si="0"/>
        <v>310</v>
      </c>
      <c r="J10" s="30">
        <v>2100</v>
      </c>
      <c r="K10" s="4" t="s">
        <v>106</v>
      </c>
      <c r="L10" s="4" t="s">
        <v>454</v>
      </c>
      <c r="M10" s="7" t="s">
        <v>21</v>
      </c>
      <c r="N10" s="8">
        <v>41565</v>
      </c>
      <c r="O10" s="3"/>
      <c r="P10" s="3"/>
    </row>
    <row r="11" spans="1:16" ht="45" customHeight="1" x14ac:dyDescent="0.25">
      <c r="A11" s="3">
        <v>8</v>
      </c>
      <c r="B11" s="3" t="s">
        <v>107</v>
      </c>
      <c r="C11" s="4" t="s">
        <v>108</v>
      </c>
      <c r="D11" s="4" t="s">
        <v>109</v>
      </c>
      <c r="E11" s="3" t="s">
        <v>110</v>
      </c>
      <c r="F11" s="5">
        <v>79430</v>
      </c>
      <c r="G11" s="18">
        <v>13020.64</v>
      </c>
      <c r="H11" s="18">
        <v>3230.69</v>
      </c>
      <c r="I11" s="18">
        <f t="shared" si="0"/>
        <v>16251.33</v>
      </c>
      <c r="J11" s="30">
        <v>5100</v>
      </c>
      <c r="K11" s="3" t="s">
        <v>111</v>
      </c>
      <c r="L11" s="4" t="s">
        <v>112</v>
      </c>
      <c r="M11" s="7" t="s">
        <v>21</v>
      </c>
      <c r="N11" s="8">
        <v>41565</v>
      </c>
      <c r="O11" s="3"/>
      <c r="P11" s="3"/>
    </row>
    <row r="12" spans="1:16" ht="45" customHeight="1" x14ac:dyDescent="0.25">
      <c r="A12" s="3">
        <v>9</v>
      </c>
      <c r="B12" s="3" t="s">
        <v>113</v>
      </c>
      <c r="C12" s="4" t="s">
        <v>114</v>
      </c>
      <c r="D12" s="4" t="s">
        <v>115</v>
      </c>
      <c r="E12" s="3" t="s">
        <v>116</v>
      </c>
      <c r="F12" s="5">
        <v>6240</v>
      </c>
      <c r="G12" s="18">
        <v>834.02</v>
      </c>
      <c r="H12" s="18">
        <v>1237.6300000000001</v>
      </c>
      <c r="I12" s="18">
        <f t="shared" si="0"/>
        <v>2071.65</v>
      </c>
      <c r="J12" s="30">
        <v>500</v>
      </c>
      <c r="K12" s="4" t="s">
        <v>117</v>
      </c>
      <c r="L12" s="4" t="s">
        <v>118</v>
      </c>
      <c r="M12" s="7" t="s">
        <v>21</v>
      </c>
      <c r="N12" s="8">
        <v>41565</v>
      </c>
      <c r="O12" s="3"/>
      <c r="P12" s="3"/>
    </row>
    <row r="13" spans="1:16" ht="45" customHeight="1" x14ac:dyDescent="0.25">
      <c r="A13" s="3">
        <v>10</v>
      </c>
      <c r="B13" s="3" t="s">
        <v>119</v>
      </c>
      <c r="C13" s="4" t="s">
        <v>114</v>
      </c>
      <c r="D13" s="4" t="s">
        <v>115</v>
      </c>
      <c r="E13" s="3" t="s">
        <v>116</v>
      </c>
      <c r="F13" s="5">
        <v>6240</v>
      </c>
      <c r="G13" s="18">
        <v>2290.7600000000002</v>
      </c>
      <c r="H13" s="18">
        <v>1237.6300000000001</v>
      </c>
      <c r="I13" s="18">
        <f t="shared" si="0"/>
        <v>3528.3900000000003</v>
      </c>
      <c r="J13" s="30">
        <v>1</v>
      </c>
      <c r="K13" s="4" t="s">
        <v>117</v>
      </c>
      <c r="L13" s="31" t="s">
        <v>120</v>
      </c>
      <c r="M13" s="7" t="s">
        <v>21</v>
      </c>
      <c r="N13" s="8">
        <v>41565</v>
      </c>
      <c r="O13" s="3"/>
      <c r="P13" s="3"/>
    </row>
    <row r="14" spans="1:16" ht="45" customHeight="1" x14ac:dyDescent="0.25">
      <c r="A14" s="3">
        <v>11</v>
      </c>
      <c r="B14" s="3" t="s">
        <v>121</v>
      </c>
      <c r="C14" s="4" t="s">
        <v>114</v>
      </c>
      <c r="D14" s="4" t="s">
        <v>115</v>
      </c>
      <c r="E14" s="3" t="s">
        <v>116</v>
      </c>
      <c r="F14" s="5">
        <v>6240</v>
      </c>
      <c r="G14" s="18">
        <v>834.02</v>
      </c>
      <c r="H14" s="18">
        <v>1237.6300000000001</v>
      </c>
      <c r="I14" s="18">
        <f>MIN(G14+H14,F14)</f>
        <v>2071.65</v>
      </c>
      <c r="J14" s="30">
        <v>1</v>
      </c>
      <c r="K14" s="4" t="s">
        <v>117</v>
      </c>
      <c r="L14" s="31" t="s">
        <v>120</v>
      </c>
      <c r="M14" s="7" t="s">
        <v>21</v>
      </c>
      <c r="N14" s="8">
        <v>41565</v>
      </c>
      <c r="O14" s="3"/>
      <c r="P14" s="3"/>
    </row>
    <row r="15" spans="1:16" ht="45" customHeight="1" x14ac:dyDescent="0.25">
      <c r="A15" s="3">
        <v>12</v>
      </c>
      <c r="B15" s="3" t="s">
        <v>122</v>
      </c>
      <c r="C15" s="4" t="s">
        <v>114</v>
      </c>
      <c r="D15" s="4" t="s">
        <v>115</v>
      </c>
      <c r="E15" s="3" t="s">
        <v>123</v>
      </c>
      <c r="F15" s="5">
        <v>7180</v>
      </c>
      <c r="G15" s="9">
        <v>959.62</v>
      </c>
      <c r="H15" s="18">
        <v>3071.02</v>
      </c>
      <c r="I15" s="18">
        <f>MIN(G15+H15,F15)</f>
        <v>4030.64</v>
      </c>
      <c r="J15" s="30">
        <v>1</v>
      </c>
      <c r="K15" s="4" t="s">
        <v>117</v>
      </c>
      <c r="L15" s="31" t="s">
        <v>120</v>
      </c>
      <c r="M15" s="7" t="s">
        <v>21</v>
      </c>
      <c r="N15" s="8">
        <v>41565</v>
      </c>
      <c r="O15" s="3"/>
      <c r="P15" s="3"/>
    </row>
    <row r="16" spans="1:16" ht="45" customHeight="1" x14ac:dyDescent="0.25">
      <c r="A16" s="3">
        <v>13</v>
      </c>
      <c r="B16" s="3" t="s">
        <v>124</v>
      </c>
      <c r="C16" s="4" t="s">
        <v>125</v>
      </c>
      <c r="D16" s="4" t="s">
        <v>126</v>
      </c>
      <c r="E16" s="3" t="s">
        <v>127</v>
      </c>
      <c r="F16" s="5">
        <v>2380</v>
      </c>
      <c r="G16" s="18">
        <v>136.71</v>
      </c>
      <c r="H16" s="18">
        <v>2759.94</v>
      </c>
      <c r="I16" s="18">
        <f t="shared" ref="I16:I22" si="1">MIN(G16+H16,F16)</f>
        <v>2380</v>
      </c>
      <c r="J16" s="30">
        <v>2380</v>
      </c>
      <c r="K16" s="4" t="s">
        <v>455</v>
      </c>
      <c r="L16" s="31" t="s">
        <v>120</v>
      </c>
      <c r="M16" s="7" t="s">
        <v>21</v>
      </c>
      <c r="N16" s="8">
        <v>41565</v>
      </c>
      <c r="O16" s="3"/>
      <c r="P16" s="3"/>
    </row>
    <row r="17" spans="1:16" ht="45" customHeight="1" x14ac:dyDescent="0.25">
      <c r="A17" s="3">
        <v>14</v>
      </c>
      <c r="B17" s="3" t="s">
        <v>128</v>
      </c>
      <c r="C17" s="4" t="s">
        <v>129</v>
      </c>
      <c r="D17" s="4" t="s">
        <v>130</v>
      </c>
      <c r="E17" s="3" t="s">
        <v>131</v>
      </c>
      <c r="F17" s="5">
        <v>3600</v>
      </c>
      <c r="G17" s="18">
        <v>1364.69</v>
      </c>
      <c r="H17" s="18">
        <v>5949.93</v>
      </c>
      <c r="I17" s="18">
        <f t="shared" si="1"/>
        <v>3600</v>
      </c>
      <c r="J17" s="30">
        <v>5100</v>
      </c>
      <c r="K17" s="4" t="s">
        <v>462</v>
      </c>
      <c r="L17" s="4" t="s">
        <v>460</v>
      </c>
      <c r="M17" s="7" t="s">
        <v>21</v>
      </c>
      <c r="N17" s="8">
        <v>41565</v>
      </c>
      <c r="O17" s="3"/>
      <c r="P17" s="3"/>
    </row>
    <row r="18" spans="1:16" ht="45" customHeight="1" x14ac:dyDescent="0.25">
      <c r="A18" s="3">
        <v>15</v>
      </c>
      <c r="B18" s="3" t="s">
        <v>132</v>
      </c>
      <c r="C18" s="4" t="s">
        <v>114</v>
      </c>
      <c r="D18" s="4" t="s">
        <v>133</v>
      </c>
      <c r="E18" s="3" t="s">
        <v>134</v>
      </c>
      <c r="F18" s="5">
        <v>7950</v>
      </c>
      <c r="G18" s="9">
        <v>2873.52</v>
      </c>
      <c r="H18" s="18">
        <v>2928.83</v>
      </c>
      <c r="I18" s="18">
        <f t="shared" si="1"/>
        <v>5802.35</v>
      </c>
      <c r="J18" s="30">
        <v>150</v>
      </c>
      <c r="K18" s="4" t="s">
        <v>461</v>
      </c>
      <c r="L18" s="4" t="s">
        <v>459</v>
      </c>
      <c r="M18" s="7" t="s">
        <v>21</v>
      </c>
      <c r="N18" s="8">
        <v>41565</v>
      </c>
      <c r="O18" s="3"/>
      <c r="P18" s="3"/>
    </row>
    <row r="19" spans="1:16" ht="45" customHeight="1" x14ac:dyDescent="0.25">
      <c r="A19" s="3">
        <v>16</v>
      </c>
      <c r="B19" s="3" t="s">
        <v>135</v>
      </c>
      <c r="C19" s="4" t="s">
        <v>114</v>
      </c>
      <c r="D19" s="4" t="s">
        <v>136</v>
      </c>
      <c r="E19" s="3" t="s">
        <v>137</v>
      </c>
      <c r="F19" s="5">
        <v>47210</v>
      </c>
      <c r="G19" s="9">
        <v>5329.99</v>
      </c>
      <c r="H19" s="18">
        <v>1690.64</v>
      </c>
      <c r="I19" s="18">
        <f t="shared" si="1"/>
        <v>7020.63</v>
      </c>
      <c r="J19" s="30">
        <v>7000</v>
      </c>
      <c r="K19" s="4" t="s">
        <v>117</v>
      </c>
      <c r="L19" s="4" t="s">
        <v>458</v>
      </c>
      <c r="M19" s="7" t="s">
        <v>21</v>
      </c>
      <c r="N19" s="8">
        <v>41565</v>
      </c>
      <c r="O19" s="3"/>
      <c r="P19" s="3"/>
    </row>
    <row r="20" spans="1:16" ht="45" customHeight="1" x14ac:dyDescent="0.25">
      <c r="A20" s="3">
        <v>17</v>
      </c>
      <c r="B20" s="3" t="s">
        <v>138</v>
      </c>
      <c r="C20" s="4" t="s">
        <v>45</v>
      </c>
      <c r="D20" s="4" t="s">
        <v>139</v>
      </c>
      <c r="E20" s="3" t="s">
        <v>137</v>
      </c>
      <c r="F20" s="5">
        <v>1010</v>
      </c>
      <c r="G20" s="18">
        <v>113.36</v>
      </c>
      <c r="H20" s="18">
        <v>1690.63</v>
      </c>
      <c r="I20" s="18">
        <f t="shared" si="1"/>
        <v>1010</v>
      </c>
      <c r="J20" s="30">
        <v>1500</v>
      </c>
      <c r="K20" s="4" t="s">
        <v>117</v>
      </c>
      <c r="L20" s="4" t="s">
        <v>457</v>
      </c>
      <c r="M20" s="7" t="s">
        <v>21</v>
      </c>
      <c r="N20" s="8">
        <v>41565</v>
      </c>
      <c r="O20" s="3"/>
      <c r="P20" s="3"/>
    </row>
    <row r="21" spans="1:16" ht="45" customHeight="1" x14ac:dyDescent="0.25">
      <c r="A21" s="3">
        <v>18</v>
      </c>
      <c r="B21" s="3" t="s">
        <v>44</v>
      </c>
      <c r="C21" s="4" t="s">
        <v>45</v>
      </c>
      <c r="D21" s="4" t="s">
        <v>46</v>
      </c>
      <c r="E21" s="3" t="s">
        <v>47</v>
      </c>
      <c r="F21" s="5">
        <v>2900</v>
      </c>
      <c r="G21" s="18">
        <v>386.41</v>
      </c>
      <c r="H21" s="18">
        <v>1704.72</v>
      </c>
      <c r="I21" s="18">
        <f t="shared" si="1"/>
        <v>2091.13</v>
      </c>
      <c r="J21" s="75" t="s">
        <v>120</v>
      </c>
      <c r="K21" s="75" t="s">
        <v>120</v>
      </c>
      <c r="L21" s="75" t="s">
        <v>120</v>
      </c>
      <c r="M21" s="7" t="s">
        <v>21</v>
      </c>
      <c r="N21" s="8">
        <v>41565</v>
      </c>
      <c r="O21" s="3"/>
      <c r="P21" s="3"/>
    </row>
    <row r="22" spans="1:16" ht="45" customHeight="1" x14ac:dyDescent="0.25">
      <c r="A22" s="3">
        <v>19</v>
      </c>
      <c r="B22" s="3" t="s">
        <v>50</v>
      </c>
      <c r="C22" s="4" t="s">
        <v>51</v>
      </c>
      <c r="D22" s="4" t="s">
        <v>52</v>
      </c>
      <c r="E22" s="3" t="s">
        <v>140</v>
      </c>
      <c r="F22" s="5">
        <v>9320</v>
      </c>
      <c r="G22" s="18">
        <v>3361.88</v>
      </c>
      <c r="H22" s="18">
        <v>4583.62</v>
      </c>
      <c r="I22" s="18">
        <f t="shared" si="1"/>
        <v>7945.5</v>
      </c>
      <c r="J22" s="75" t="s">
        <v>120</v>
      </c>
      <c r="K22" s="75" t="s">
        <v>120</v>
      </c>
      <c r="L22" s="75" t="s">
        <v>120</v>
      </c>
      <c r="M22" s="7" t="s">
        <v>21</v>
      </c>
      <c r="N22" s="8">
        <v>41565</v>
      </c>
      <c r="O22" s="3"/>
      <c r="P22" s="3"/>
    </row>
    <row r="23" spans="1:16" ht="45" customHeight="1" x14ac:dyDescent="0.25">
      <c r="A23" s="3">
        <v>20</v>
      </c>
      <c r="B23" s="20" t="s">
        <v>141</v>
      </c>
      <c r="C23" s="26" t="s">
        <v>142</v>
      </c>
      <c r="D23" s="26" t="s">
        <v>143</v>
      </c>
      <c r="E23" s="20" t="s">
        <v>144</v>
      </c>
      <c r="F23" s="29">
        <v>16000</v>
      </c>
      <c r="G23" s="27">
        <v>1002.13</v>
      </c>
      <c r="H23" s="27">
        <v>2679.02</v>
      </c>
      <c r="I23" s="18">
        <f>MIN(G23+H23,F23)</f>
        <v>3681.15</v>
      </c>
      <c r="J23" s="32">
        <v>2001</v>
      </c>
      <c r="K23" s="26" t="s">
        <v>456</v>
      </c>
      <c r="L23" s="26" t="s">
        <v>295</v>
      </c>
      <c r="M23" s="7" t="s">
        <v>21</v>
      </c>
      <c r="N23" s="8">
        <v>41565</v>
      </c>
      <c r="O23" s="3"/>
      <c r="P23" s="3"/>
    </row>
    <row r="24" spans="1:16" x14ac:dyDescent="0.25">
      <c r="A24" s="299" t="s">
        <v>74</v>
      </c>
      <c r="B24" s="300"/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</row>
    <row r="25" spans="1:16" x14ac:dyDescent="0.25">
      <c r="A25" s="33"/>
      <c r="C25" s="20"/>
      <c r="D25" s="20"/>
      <c r="F25" s="20"/>
      <c r="I25" s="27"/>
    </row>
    <row r="26" spans="1:16" x14ac:dyDescent="0.25">
      <c r="A26" s="34"/>
    </row>
    <row r="27" spans="1:16" x14ac:dyDescent="0.25">
      <c r="A27" s="35"/>
      <c r="B27" s="33"/>
      <c r="C27" s="35"/>
      <c r="D27" s="35"/>
      <c r="E27" s="35"/>
      <c r="F27" s="36"/>
      <c r="G27" s="23"/>
      <c r="H27" s="37"/>
      <c r="I27" s="23"/>
      <c r="J27" s="38"/>
      <c r="K27" s="35"/>
      <c r="L27" s="35"/>
      <c r="M27" s="35"/>
      <c r="N27" s="35"/>
    </row>
    <row r="28" spans="1:16" x14ac:dyDescent="0.25">
      <c r="G28" s="39"/>
      <c r="M28" s="40"/>
      <c r="N28" s="41"/>
    </row>
    <row r="29" spans="1:16" x14ac:dyDescent="0.25">
      <c r="M29" s="40"/>
      <c r="N29" s="41"/>
    </row>
    <row r="30" spans="1:16" x14ac:dyDescent="0.25">
      <c r="M30" s="40"/>
      <c r="N30" s="41"/>
    </row>
    <row r="31" spans="1:16" x14ac:dyDescent="0.25">
      <c r="M31" s="40"/>
      <c r="N31" s="41"/>
    </row>
    <row r="32" spans="1:16" x14ac:dyDescent="0.25">
      <c r="M32" s="40"/>
      <c r="N32" s="41"/>
    </row>
    <row r="33" spans="1:14" x14ac:dyDescent="0.25">
      <c r="M33" s="40"/>
      <c r="N33" s="41"/>
    </row>
    <row r="34" spans="1:14" x14ac:dyDescent="0.25">
      <c r="M34" s="40"/>
      <c r="N34" s="41"/>
    </row>
    <row r="35" spans="1:14" x14ac:dyDescent="0.25">
      <c r="M35" s="40"/>
      <c r="N35" s="41"/>
    </row>
    <row r="36" spans="1:14" x14ac:dyDescent="0.25">
      <c r="M36" s="40"/>
      <c r="N36" s="41"/>
    </row>
    <row r="37" spans="1:14" x14ac:dyDescent="0.25">
      <c r="M37" s="40"/>
      <c r="N37" s="41"/>
    </row>
    <row r="38" spans="1:14" x14ac:dyDescent="0.25">
      <c r="M38" s="40"/>
      <c r="N38" s="41"/>
    </row>
    <row r="39" spans="1:14" x14ac:dyDescent="0.25">
      <c r="C39" s="20"/>
      <c r="M39" s="40"/>
      <c r="N39" s="41"/>
    </row>
    <row r="40" spans="1:14" x14ac:dyDescent="0.25">
      <c r="A40" s="299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</row>
    <row r="41" spans="1:14" x14ac:dyDescent="0.25">
      <c r="A41" s="33"/>
      <c r="C41" s="20"/>
      <c r="D41" s="20"/>
      <c r="F41" s="20"/>
      <c r="I41" s="27"/>
    </row>
    <row r="42" spans="1:14" x14ac:dyDescent="0.2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</row>
    <row r="43" spans="1:14" x14ac:dyDescent="0.25">
      <c r="A43" s="34"/>
    </row>
    <row r="44" spans="1:14" x14ac:dyDescent="0.25">
      <c r="A44" s="35"/>
      <c r="B44" s="33"/>
      <c r="C44" s="35"/>
      <c r="D44" s="35"/>
      <c r="E44" s="35"/>
      <c r="F44" s="36"/>
      <c r="G44" s="23"/>
      <c r="H44" s="37"/>
      <c r="I44" s="23"/>
      <c r="J44" s="38"/>
      <c r="K44" s="35"/>
      <c r="L44" s="35"/>
      <c r="M44" s="35"/>
      <c r="N44" s="35"/>
    </row>
    <row r="45" spans="1:14" x14ac:dyDescent="0.25">
      <c r="M45" s="40"/>
      <c r="N45" s="41"/>
    </row>
    <row r="46" spans="1:14" x14ac:dyDescent="0.25">
      <c r="M46" s="40"/>
      <c r="N46" s="41"/>
    </row>
    <row r="47" spans="1:14" x14ac:dyDescent="0.25">
      <c r="C47" s="20"/>
      <c r="D47" s="20"/>
      <c r="F47" s="20"/>
      <c r="I47" s="27"/>
    </row>
    <row r="48" spans="1:14" x14ac:dyDescent="0.25">
      <c r="C48" s="20"/>
      <c r="D48" s="20"/>
      <c r="F48" s="20"/>
      <c r="I48" s="27"/>
    </row>
    <row r="49" spans="1:14" x14ac:dyDescent="0.25">
      <c r="C49" s="20"/>
      <c r="D49" s="20"/>
      <c r="F49" s="20"/>
      <c r="I49" s="27"/>
    </row>
    <row r="50" spans="1:14" x14ac:dyDescent="0.25">
      <c r="C50" s="20"/>
      <c r="D50" s="20"/>
      <c r="F50" s="20"/>
      <c r="I50" s="27"/>
    </row>
    <row r="51" spans="1:14" x14ac:dyDescent="0.25">
      <c r="C51" s="20"/>
      <c r="D51" s="20"/>
      <c r="F51" s="20"/>
      <c r="I51" s="27"/>
    </row>
    <row r="52" spans="1:14" x14ac:dyDescent="0.25">
      <c r="C52" s="20"/>
      <c r="D52" s="20"/>
      <c r="F52" s="20"/>
      <c r="I52" s="27"/>
    </row>
    <row r="53" spans="1:14" x14ac:dyDescent="0.25">
      <c r="C53" s="20"/>
      <c r="D53" s="20"/>
      <c r="F53" s="20"/>
      <c r="I53" s="27"/>
    </row>
    <row r="54" spans="1:14" x14ac:dyDescent="0.25">
      <c r="C54" s="20"/>
      <c r="D54" s="20"/>
      <c r="F54" s="20"/>
      <c r="I54" s="27"/>
    </row>
    <row r="55" spans="1:14" x14ac:dyDescent="0.25">
      <c r="C55" s="20"/>
      <c r="D55" s="20"/>
      <c r="F55" s="20"/>
      <c r="I55" s="27"/>
    </row>
    <row r="56" spans="1:14" x14ac:dyDescent="0.25">
      <c r="C56" s="20"/>
      <c r="D56" s="20"/>
      <c r="F56" s="20"/>
      <c r="I56" s="27"/>
    </row>
    <row r="57" spans="1:14" x14ac:dyDescent="0.25">
      <c r="A57" s="299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</row>
    <row r="58" spans="1:14" x14ac:dyDescent="0.25">
      <c r="C58" s="20"/>
      <c r="D58" s="20"/>
    </row>
    <row r="59" spans="1:14" x14ac:dyDescent="0.25">
      <c r="C59" s="20"/>
      <c r="D59" s="20"/>
    </row>
    <row r="60" spans="1:14" x14ac:dyDescent="0.25">
      <c r="C60" s="20"/>
      <c r="D60" s="20"/>
    </row>
    <row r="61" spans="1:14" x14ac:dyDescent="0.25">
      <c r="C61" s="20"/>
      <c r="D61" s="20"/>
    </row>
    <row r="62" spans="1:14" x14ac:dyDescent="0.25">
      <c r="C62" s="20"/>
      <c r="D62" s="20"/>
    </row>
    <row r="63" spans="1:14" x14ac:dyDescent="0.25">
      <c r="C63" s="20"/>
      <c r="D63" s="20"/>
    </row>
    <row r="64" spans="1:14" x14ac:dyDescent="0.25">
      <c r="C64" s="20"/>
      <c r="D64" s="20"/>
    </row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  <row r="238" s="20" customFormat="1" x14ac:dyDescent="0.25"/>
    <row r="239" s="20" customFormat="1" x14ac:dyDescent="0.25"/>
    <row r="240" s="20" customFormat="1" x14ac:dyDescent="0.25"/>
    <row r="241" s="20" customFormat="1" x14ac:dyDescent="0.25"/>
    <row r="242" s="20" customFormat="1" x14ac:dyDescent="0.25"/>
    <row r="243" s="20" customFormat="1" x14ac:dyDescent="0.25"/>
    <row r="244" s="20" customFormat="1" x14ac:dyDescent="0.25"/>
    <row r="245" s="20" customFormat="1" x14ac:dyDescent="0.25"/>
    <row r="246" s="20" customFormat="1" x14ac:dyDescent="0.25"/>
    <row r="247" s="20" customFormat="1" x14ac:dyDescent="0.25"/>
    <row r="248" s="20" customFormat="1" x14ac:dyDescent="0.25"/>
    <row r="249" s="20" customFormat="1" x14ac:dyDescent="0.25"/>
    <row r="250" s="20" customFormat="1" x14ac:dyDescent="0.25"/>
    <row r="251" s="20" customFormat="1" x14ac:dyDescent="0.25"/>
    <row r="252" s="20" customFormat="1" x14ac:dyDescent="0.25"/>
    <row r="253" s="20" customFormat="1" x14ac:dyDescent="0.25"/>
    <row r="254" s="20" customFormat="1" x14ac:dyDescent="0.25"/>
    <row r="255" s="20" customFormat="1" x14ac:dyDescent="0.25"/>
    <row r="256" s="20" customFormat="1" x14ac:dyDescent="0.25"/>
    <row r="257" s="20" customFormat="1" x14ac:dyDescent="0.25"/>
    <row r="258" s="20" customFormat="1" x14ac:dyDescent="0.25"/>
    <row r="259" s="20" customFormat="1" x14ac:dyDescent="0.25"/>
    <row r="260" s="20" customFormat="1" x14ac:dyDescent="0.25"/>
    <row r="261" s="20" customFormat="1" x14ac:dyDescent="0.25"/>
    <row r="262" s="20" customFormat="1" x14ac:dyDescent="0.25"/>
    <row r="263" s="20" customFormat="1" x14ac:dyDescent="0.25"/>
    <row r="264" s="20" customFormat="1" x14ac:dyDescent="0.25"/>
    <row r="265" s="20" customFormat="1" x14ac:dyDescent="0.25"/>
    <row r="266" s="20" customFormat="1" x14ac:dyDescent="0.25"/>
    <row r="267" s="20" customFormat="1" x14ac:dyDescent="0.25"/>
    <row r="268" s="20" customFormat="1" x14ac:dyDescent="0.25"/>
    <row r="269" s="20" customFormat="1" x14ac:dyDescent="0.25"/>
    <row r="270" s="20" customFormat="1" x14ac:dyDescent="0.25"/>
    <row r="271" s="20" customFormat="1" x14ac:dyDescent="0.25"/>
    <row r="272" s="20" customFormat="1" x14ac:dyDescent="0.25"/>
    <row r="273" s="20" customFormat="1" x14ac:dyDescent="0.25"/>
    <row r="274" s="20" customFormat="1" x14ac:dyDescent="0.25"/>
    <row r="275" s="20" customFormat="1" x14ac:dyDescent="0.25"/>
    <row r="276" s="20" customFormat="1" x14ac:dyDescent="0.25"/>
    <row r="277" s="20" customFormat="1" x14ac:dyDescent="0.25"/>
    <row r="278" s="20" customFormat="1" x14ac:dyDescent="0.25"/>
    <row r="279" s="20" customFormat="1" x14ac:dyDescent="0.25"/>
    <row r="280" s="20" customFormat="1" x14ac:dyDescent="0.25"/>
    <row r="281" s="20" customFormat="1" x14ac:dyDescent="0.25"/>
    <row r="282" s="20" customFormat="1" x14ac:dyDescent="0.25"/>
    <row r="283" s="20" customFormat="1" x14ac:dyDescent="0.25"/>
    <row r="284" s="20" customFormat="1" x14ac:dyDescent="0.25"/>
    <row r="285" s="20" customFormat="1" x14ac:dyDescent="0.25"/>
    <row r="286" s="20" customFormat="1" x14ac:dyDescent="0.25"/>
    <row r="287" s="20" customFormat="1" x14ac:dyDescent="0.25"/>
    <row r="288" s="20" customFormat="1" x14ac:dyDescent="0.25"/>
    <row r="289" s="20" customFormat="1" x14ac:dyDescent="0.25"/>
    <row r="290" s="20" customFormat="1" x14ac:dyDescent="0.25"/>
    <row r="291" s="20" customFormat="1" x14ac:dyDescent="0.25"/>
    <row r="292" s="20" customFormat="1" x14ac:dyDescent="0.25"/>
    <row r="293" s="20" customFormat="1" x14ac:dyDescent="0.25"/>
    <row r="294" s="20" customFormat="1" x14ac:dyDescent="0.25"/>
    <row r="295" s="20" customFormat="1" x14ac:dyDescent="0.25"/>
    <row r="296" s="20" customFormat="1" x14ac:dyDescent="0.25"/>
    <row r="297" s="20" customFormat="1" x14ac:dyDescent="0.25"/>
    <row r="298" s="20" customFormat="1" x14ac:dyDescent="0.25"/>
    <row r="299" s="20" customFormat="1" x14ac:dyDescent="0.25"/>
    <row r="300" s="20" customFormat="1" x14ac:dyDescent="0.25"/>
    <row r="301" s="20" customFormat="1" x14ac:dyDescent="0.25"/>
    <row r="302" s="20" customFormat="1" x14ac:dyDescent="0.25"/>
    <row r="303" s="20" customFormat="1" x14ac:dyDescent="0.25"/>
    <row r="304" s="20" customFormat="1" x14ac:dyDescent="0.25"/>
    <row r="305" s="20" customFormat="1" x14ac:dyDescent="0.25"/>
    <row r="306" s="20" customFormat="1" x14ac:dyDescent="0.25"/>
    <row r="307" s="20" customFormat="1" x14ac:dyDescent="0.25"/>
    <row r="308" s="20" customFormat="1" x14ac:dyDescent="0.25"/>
    <row r="309" s="20" customFormat="1" x14ac:dyDescent="0.25"/>
    <row r="310" s="20" customFormat="1" x14ac:dyDescent="0.25"/>
    <row r="311" s="20" customFormat="1" x14ac:dyDescent="0.25"/>
    <row r="312" s="20" customFormat="1" x14ac:dyDescent="0.25"/>
    <row r="313" s="20" customFormat="1" x14ac:dyDescent="0.25"/>
    <row r="314" s="20" customFormat="1" x14ac:dyDescent="0.25"/>
    <row r="315" s="20" customFormat="1" x14ac:dyDescent="0.25"/>
    <row r="316" s="20" customFormat="1" x14ac:dyDescent="0.25"/>
    <row r="317" s="20" customFormat="1" x14ac:dyDescent="0.25"/>
    <row r="318" s="20" customFormat="1" x14ac:dyDescent="0.25"/>
    <row r="319" s="20" customFormat="1" x14ac:dyDescent="0.25"/>
    <row r="320" s="20" customFormat="1" x14ac:dyDescent="0.25"/>
    <row r="321" s="20" customFormat="1" x14ac:dyDescent="0.25"/>
    <row r="322" s="20" customFormat="1" x14ac:dyDescent="0.25"/>
    <row r="323" s="20" customFormat="1" x14ac:dyDescent="0.25"/>
    <row r="324" s="20" customFormat="1" x14ac:dyDescent="0.25"/>
    <row r="325" s="20" customFormat="1" x14ac:dyDescent="0.25"/>
    <row r="326" s="20" customFormat="1" x14ac:dyDescent="0.25"/>
    <row r="327" s="20" customFormat="1" x14ac:dyDescent="0.25"/>
    <row r="328" s="20" customFormat="1" x14ac:dyDescent="0.25"/>
    <row r="329" s="20" customFormat="1" x14ac:dyDescent="0.25"/>
    <row r="330" s="20" customFormat="1" x14ac:dyDescent="0.25"/>
    <row r="331" s="20" customFormat="1" x14ac:dyDescent="0.25"/>
    <row r="332" s="20" customFormat="1" x14ac:dyDescent="0.25"/>
    <row r="333" s="20" customFormat="1" x14ac:dyDescent="0.25"/>
    <row r="334" s="20" customFormat="1" x14ac:dyDescent="0.25"/>
    <row r="335" s="20" customFormat="1" x14ac:dyDescent="0.25"/>
    <row r="336" s="20" customFormat="1" x14ac:dyDescent="0.25"/>
    <row r="337" s="20" customFormat="1" x14ac:dyDescent="0.25"/>
    <row r="338" s="20" customFormat="1" x14ac:dyDescent="0.25"/>
    <row r="339" s="20" customFormat="1" x14ac:dyDescent="0.25"/>
    <row r="340" s="20" customFormat="1" x14ac:dyDescent="0.25"/>
    <row r="341" s="20" customFormat="1" x14ac:dyDescent="0.25"/>
    <row r="342" s="20" customFormat="1" x14ac:dyDescent="0.25"/>
    <row r="343" s="20" customFormat="1" x14ac:dyDescent="0.25"/>
    <row r="344" s="20" customFormat="1" x14ac:dyDescent="0.25"/>
    <row r="345" s="20" customFormat="1" x14ac:dyDescent="0.25"/>
    <row r="346" s="20" customFormat="1" x14ac:dyDescent="0.25"/>
    <row r="347" s="20" customFormat="1" x14ac:dyDescent="0.25"/>
    <row r="348" s="20" customFormat="1" x14ac:dyDescent="0.25"/>
    <row r="349" s="20" customFormat="1" x14ac:dyDescent="0.25"/>
    <row r="350" s="20" customFormat="1" x14ac:dyDescent="0.25"/>
    <row r="351" s="20" customFormat="1" x14ac:dyDescent="0.25"/>
    <row r="352" s="20" customFormat="1" x14ac:dyDescent="0.25"/>
    <row r="353" s="20" customFormat="1" x14ac:dyDescent="0.25"/>
    <row r="354" s="20" customFormat="1" x14ac:dyDescent="0.25"/>
    <row r="355" s="20" customFormat="1" x14ac:dyDescent="0.25"/>
    <row r="356" s="20" customFormat="1" x14ac:dyDescent="0.25"/>
    <row r="357" s="20" customFormat="1" x14ac:dyDescent="0.25"/>
    <row r="358" s="20" customFormat="1" x14ac:dyDescent="0.25"/>
    <row r="359" s="20" customFormat="1" x14ac:dyDescent="0.25"/>
    <row r="360" s="20" customFormat="1" x14ac:dyDescent="0.25"/>
    <row r="361" s="20" customFormat="1" x14ac:dyDescent="0.25"/>
    <row r="362" s="20" customFormat="1" x14ac:dyDescent="0.25"/>
    <row r="363" s="20" customFormat="1" x14ac:dyDescent="0.25"/>
    <row r="364" s="20" customFormat="1" x14ac:dyDescent="0.25"/>
    <row r="365" s="20" customFormat="1" x14ac:dyDescent="0.25"/>
    <row r="366" s="20" customFormat="1" x14ac:dyDescent="0.25"/>
    <row r="367" s="20" customFormat="1" x14ac:dyDescent="0.25"/>
    <row r="368" s="20" customFormat="1" x14ac:dyDescent="0.25"/>
    <row r="369" s="20" customFormat="1" x14ac:dyDescent="0.25"/>
    <row r="370" s="20" customFormat="1" x14ac:dyDescent="0.25"/>
    <row r="371" s="20" customFormat="1" x14ac:dyDescent="0.25"/>
    <row r="372" s="20" customFormat="1" x14ac:dyDescent="0.25"/>
    <row r="373" s="20" customFormat="1" x14ac:dyDescent="0.25"/>
  </sheetData>
  <mergeCells count="5">
    <mergeCell ref="A57:N57"/>
    <mergeCell ref="A24:N24"/>
    <mergeCell ref="A40:N40"/>
    <mergeCell ref="A42:N42"/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1"/>
  <sheetViews>
    <sheetView workbookViewId="0">
      <selection sqref="A1:XFD1048576"/>
    </sheetView>
  </sheetViews>
  <sheetFormatPr defaultColWidth="13.140625" defaultRowHeight="15" x14ac:dyDescent="0.25"/>
  <cols>
    <col min="1" max="1" width="5.42578125" bestFit="1" customWidth="1"/>
    <col min="2" max="2" width="15.5703125" bestFit="1" customWidth="1"/>
    <col min="3" max="3" width="17.7109375" bestFit="1" customWidth="1"/>
    <col min="4" max="4" width="15.5703125" bestFit="1" customWidth="1"/>
    <col min="5" max="5" width="10.140625" bestFit="1" customWidth="1"/>
    <col min="6" max="6" width="12.85546875" bestFit="1" customWidth="1"/>
    <col min="7" max="7" width="10" bestFit="1" customWidth="1"/>
    <col min="8" max="8" width="8.140625" bestFit="1" customWidth="1"/>
    <col min="9" max="10" width="9.140625" bestFit="1" customWidth="1"/>
    <col min="11" max="11" width="12" bestFit="1" customWidth="1"/>
    <col min="12" max="12" width="9" bestFit="1" customWidth="1"/>
    <col min="13" max="13" width="7.7109375" bestFit="1" customWidth="1"/>
    <col min="14" max="14" width="12.140625" bestFit="1" customWidth="1"/>
  </cols>
  <sheetData>
    <row r="1" spans="1:14" x14ac:dyDescent="0.25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4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" t="s">
        <v>1</v>
      </c>
    </row>
    <row r="3" spans="1:14" ht="30" x14ac:dyDescent="0.25">
      <c r="A3" s="12" t="s">
        <v>2</v>
      </c>
      <c r="B3" s="13" t="s">
        <v>3</v>
      </c>
      <c r="C3" s="12" t="s">
        <v>4</v>
      </c>
      <c r="D3" s="12" t="s">
        <v>5</v>
      </c>
      <c r="E3" s="12" t="s">
        <v>6</v>
      </c>
      <c r="F3" s="14" t="s">
        <v>7</v>
      </c>
      <c r="G3" s="11" t="s">
        <v>8</v>
      </c>
      <c r="H3" s="15" t="s">
        <v>9</v>
      </c>
      <c r="I3" s="11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45" x14ac:dyDescent="0.25">
      <c r="A4" s="3">
        <v>1</v>
      </c>
      <c r="B4" s="3" t="s">
        <v>16</v>
      </c>
      <c r="C4" s="4" t="s">
        <v>75</v>
      </c>
      <c r="D4" s="4" t="s">
        <v>17</v>
      </c>
      <c r="E4" s="3" t="s">
        <v>18</v>
      </c>
      <c r="F4" s="5">
        <v>39950</v>
      </c>
      <c r="G4" s="6">
        <v>10062.51</v>
      </c>
      <c r="H4" s="9">
        <v>3304.16</v>
      </c>
      <c r="I4" s="6">
        <v>13366.67</v>
      </c>
      <c r="J4" s="6">
        <v>5000</v>
      </c>
      <c r="K4" s="4" t="s">
        <v>19</v>
      </c>
      <c r="L4" s="4" t="s">
        <v>20</v>
      </c>
      <c r="M4" s="7" t="s">
        <v>21</v>
      </c>
      <c r="N4" s="8">
        <v>41789</v>
      </c>
    </row>
    <row r="5" spans="1:14" ht="30" x14ac:dyDescent="0.25">
      <c r="A5" s="3">
        <v>2</v>
      </c>
      <c r="B5" s="3" t="s">
        <v>22</v>
      </c>
      <c r="C5" s="4" t="s">
        <v>23</v>
      </c>
      <c r="D5" s="4" t="s">
        <v>24</v>
      </c>
      <c r="E5" s="3" t="s">
        <v>25</v>
      </c>
      <c r="F5" s="5">
        <v>340</v>
      </c>
      <c r="G5" s="6">
        <v>154.61000000000001</v>
      </c>
      <c r="H5" s="9">
        <v>2892.1</v>
      </c>
      <c r="I5" s="6">
        <v>340</v>
      </c>
      <c r="J5" s="6">
        <v>0.25</v>
      </c>
      <c r="K5" s="4" t="s">
        <v>26</v>
      </c>
      <c r="L5" s="75" t="s">
        <v>120</v>
      </c>
      <c r="M5" s="7" t="s">
        <v>21</v>
      </c>
      <c r="N5" s="8">
        <v>41789</v>
      </c>
    </row>
    <row r="6" spans="1:14" ht="30" x14ac:dyDescent="0.25">
      <c r="A6" s="3">
        <v>3</v>
      </c>
      <c r="B6" s="3" t="s">
        <v>27</v>
      </c>
      <c r="C6" s="4" t="s">
        <v>28</v>
      </c>
      <c r="D6" s="4" t="s">
        <v>29</v>
      </c>
      <c r="E6" s="3" t="s">
        <v>30</v>
      </c>
      <c r="F6" s="5">
        <v>1110</v>
      </c>
      <c r="G6" s="6">
        <v>148.72999999999999</v>
      </c>
      <c r="H6" s="9">
        <v>2696.1</v>
      </c>
      <c r="I6" s="6">
        <v>1110</v>
      </c>
      <c r="J6" s="6">
        <v>1</v>
      </c>
      <c r="K6" s="4" t="s">
        <v>31</v>
      </c>
      <c r="L6" s="75" t="s">
        <v>120</v>
      </c>
      <c r="M6" s="7" t="s">
        <v>21</v>
      </c>
      <c r="N6" s="8">
        <v>41789</v>
      </c>
    </row>
    <row r="7" spans="1:14" ht="30" x14ac:dyDescent="0.25">
      <c r="A7" s="3">
        <v>4</v>
      </c>
      <c r="B7" s="3" t="s">
        <v>32</v>
      </c>
      <c r="C7" s="4" t="s">
        <v>33</v>
      </c>
      <c r="D7" s="4" t="s">
        <v>34</v>
      </c>
      <c r="E7" s="3" t="s">
        <v>35</v>
      </c>
      <c r="F7" s="5">
        <v>370</v>
      </c>
      <c r="G7" s="6">
        <v>124.22</v>
      </c>
      <c r="H7" s="9">
        <v>1257.93</v>
      </c>
      <c r="I7" s="6">
        <v>370</v>
      </c>
      <c r="J7" s="75" t="s">
        <v>120</v>
      </c>
      <c r="K7" s="75" t="s">
        <v>120</v>
      </c>
      <c r="L7" s="75" t="s">
        <v>120</v>
      </c>
      <c r="M7" s="7" t="s">
        <v>21</v>
      </c>
      <c r="N7" s="8">
        <v>41789</v>
      </c>
    </row>
    <row r="8" spans="1:14" ht="30" x14ac:dyDescent="0.25">
      <c r="A8" s="3">
        <v>5</v>
      </c>
      <c r="B8" s="3" t="s">
        <v>36</v>
      </c>
      <c r="C8" s="4" t="s">
        <v>33</v>
      </c>
      <c r="D8" s="4" t="s">
        <v>34</v>
      </c>
      <c r="E8" s="3" t="s">
        <v>35</v>
      </c>
      <c r="F8" s="5">
        <v>370</v>
      </c>
      <c r="G8" s="6">
        <v>80.900000000000006</v>
      </c>
      <c r="H8" s="9">
        <v>1257.9199999999998</v>
      </c>
      <c r="I8" s="6">
        <v>370</v>
      </c>
      <c r="J8" s="75" t="s">
        <v>120</v>
      </c>
      <c r="K8" s="75" t="s">
        <v>120</v>
      </c>
      <c r="L8" s="75" t="s">
        <v>120</v>
      </c>
      <c r="M8" s="7" t="s">
        <v>21</v>
      </c>
      <c r="N8" s="8">
        <v>41789</v>
      </c>
    </row>
    <row r="9" spans="1:14" ht="30" x14ac:dyDescent="0.25">
      <c r="A9" s="3">
        <v>6</v>
      </c>
      <c r="B9" s="3" t="s">
        <v>37</v>
      </c>
      <c r="C9" s="4" t="s">
        <v>33</v>
      </c>
      <c r="D9" s="4" t="s">
        <v>38</v>
      </c>
      <c r="E9" s="3" t="s">
        <v>35</v>
      </c>
      <c r="F9" s="5">
        <v>130</v>
      </c>
      <c r="G9" s="6">
        <v>72.760000000000005</v>
      </c>
      <c r="H9" s="9">
        <v>1257.9199999999998</v>
      </c>
      <c r="I9" s="6">
        <v>130</v>
      </c>
      <c r="J9" s="75" t="s">
        <v>120</v>
      </c>
      <c r="K9" s="75" t="s">
        <v>120</v>
      </c>
      <c r="L9" s="75" t="s">
        <v>120</v>
      </c>
      <c r="M9" s="7" t="s">
        <v>21</v>
      </c>
      <c r="N9" s="8">
        <v>41789</v>
      </c>
    </row>
    <row r="10" spans="1:14" ht="45" x14ac:dyDescent="0.25">
      <c r="A10" s="3">
        <v>7</v>
      </c>
      <c r="B10" s="3" t="s">
        <v>39</v>
      </c>
      <c r="C10" s="4" t="s">
        <v>40</v>
      </c>
      <c r="D10" s="4" t="s">
        <v>41</v>
      </c>
      <c r="E10" s="3" t="s">
        <v>42</v>
      </c>
      <c r="F10" s="5">
        <v>760</v>
      </c>
      <c r="G10" s="6">
        <v>476.42</v>
      </c>
      <c r="H10" s="9">
        <v>3992.4</v>
      </c>
      <c r="I10" s="6">
        <v>760</v>
      </c>
      <c r="J10" s="6">
        <v>1</v>
      </c>
      <c r="K10" s="4" t="s">
        <v>43</v>
      </c>
      <c r="L10" s="75" t="s">
        <v>120</v>
      </c>
      <c r="M10" s="7" t="s">
        <v>21</v>
      </c>
      <c r="N10" s="8">
        <v>41789</v>
      </c>
    </row>
    <row r="11" spans="1:14" ht="30" x14ac:dyDescent="0.25">
      <c r="A11" s="3">
        <v>8</v>
      </c>
      <c r="B11" s="3" t="s">
        <v>44</v>
      </c>
      <c r="C11" s="4" t="s">
        <v>45</v>
      </c>
      <c r="D11" s="4" t="s">
        <v>46</v>
      </c>
      <c r="E11" s="3" t="s">
        <v>47</v>
      </c>
      <c r="F11" s="5">
        <v>2900</v>
      </c>
      <c r="G11" s="6">
        <v>440.72</v>
      </c>
      <c r="H11" s="9">
        <v>3354.6699999999996</v>
      </c>
      <c r="I11" s="6">
        <v>2900</v>
      </c>
      <c r="J11" s="6">
        <v>10</v>
      </c>
      <c r="K11" s="4" t="s">
        <v>48</v>
      </c>
      <c r="L11" s="4" t="s">
        <v>49</v>
      </c>
      <c r="M11" s="7" t="s">
        <v>21</v>
      </c>
      <c r="N11" s="8">
        <v>41789</v>
      </c>
    </row>
    <row r="12" spans="1:14" ht="45" x14ac:dyDescent="0.25">
      <c r="A12" s="3">
        <v>9</v>
      </c>
      <c r="B12" s="3" t="s">
        <v>50</v>
      </c>
      <c r="C12" s="4" t="s">
        <v>51</v>
      </c>
      <c r="D12" s="4" t="s">
        <v>52</v>
      </c>
      <c r="E12" s="3" t="s">
        <v>53</v>
      </c>
      <c r="F12" s="5">
        <v>9320</v>
      </c>
      <c r="G12" s="6">
        <v>3564.79</v>
      </c>
      <c r="H12" s="9">
        <v>4588.12</v>
      </c>
      <c r="I12" s="6">
        <v>8152.91</v>
      </c>
      <c r="J12" s="6">
        <v>400</v>
      </c>
      <c r="K12" s="4" t="s">
        <v>54</v>
      </c>
      <c r="L12" s="4" t="s">
        <v>55</v>
      </c>
      <c r="M12" s="7" t="s">
        <v>21</v>
      </c>
      <c r="N12" s="8">
        <v>41789</v>
      </c>
    </row>
    <row r="13" spans="1:14" ht="45" x14ac:dyDescent="0.25">
      <c r="A13" s="3">
        <v>10</v>
      </c>
      <c r="B13" s="3" t="s">
        <v>56</v>
      </c>
      <c r="C13" s="4" t="s">
        <v>57</v>
      </c>
      <c r="D13" s="4" t="s">
        <v>58</v>
      </c>
      <c r="E13" s="3" t="s">
        <v>59</v>
      </c>
      <c r="F13" s="5">
        <v>37920</v>
      </c>
      <c r="G13" s="6">
        <v>4360.92</v>
      </c>
      <c r="H13" s="9">
        <v>2132.64</v>
      </c>
      <c r="I13" s="6">
        <v>6493.5599999999995</v>
      </c>
      <c r="J13" s="6">
        <v>3100</v>
      </c>
      <c r="K13" s="4" t="s">
        <v>60</v>
      </c>
      <c r="L13" s="4" t="s">
        <v>61</v>
      </c>
      <c r="M13" s="7" t="s">
        <v>21</v>
      </c>
      <c r="N13" s="8">
        <v>41789</v>
      </c>
    </row>
    <row r="14" spans="1:14" ht="30" x14ac:dyDescent="0.25">
      <c r="A14" s="3">
        <v>11</v>
      </c>
      <c r="B14" s="3" t="s">
        <v>62</v>
      </c>
      <c r="C14" s="4" t="s">
        <v>63</v>
      </c>
      <c r="D14" s="4" t="s">
        <v>64</v>
      </c>
      <c r="E14" s="3" t="s">
        <v>65</v>
      </c>
      <c r="F14" s="5">
        <v>306910</v>
      </c>
      <c r="G14" s="6">
        <v>41073.629999999997</v>
      </c>
      <c r="H14" s="9">
        <v>2178.21</v>
      </c>
      <c r="I14" s="6">
        <v>43251.839999999997</v>
      </c>
      <c r="J14" s="6">
        <v>42250</v>
      </c>
      <c r="K14" s="4" t="s">
        <v>66</v>
      </c>
      <c r="L14" s="75" t="s">
        <v>120</v>
      </c>
      <c r="M14" s="7" t="s">
        <v>21</v>
      </c>
      <c r="N14" s="8">
        <v>41789</v>
      </c>
    </row>
    <row r="15" spans="1:14" ht="30" x14ac:dyDescent="0.25">
      <c r="A15" s="3">
        <v>12</v>
      </c>
      <c r="B15" s="3" t="s">
        <v>67</v>
      </c>
      <c r="C15" s="4" t="s">
        <v>63</v>
      </c>
      <c r="D15" s="4" t="s">
        <v>68</v>
      </c>
      <c r="E15" s="3" t="s">
        <v>69</v>
      </c>
      <c r="F15" s="5">
        <v>155560</v>
      </c>
      <c r="G15" s="6">
        <v>13764.17</v>
      </c>
      <c r="H15" s="9">
        <v>2654.31</v>
      </c>
      <c r="I15" s="6">
        <v>16418.48</v>
      </c>
      <c r="J15" s="6">
        <v>1200</v>
      </c>
      <c r="K15" s="4" t="s">
        <v>54</v>
      </c>
      <c r="L15" s="4" t="s">
        <v>26</v>
      </c>
      <c r="M15" s="7" t="s">
        <v>21</v>
      </c>
      <c r="N15" s="8">
        <v>41789</v>
      </c>
    </row>
    <row r="16" spans="1:14" ht="45" x14ac:dyDescent="0.25">
      <c r="A16" s="3">
        <v>13</v>
      </c>
      <c r="B16" s="3" t="s">
        <v>70</v>
      </c>
      <c r="C16" s="4" t="s">
        <v>71</v>
      </c>
      <c r="D16" s="4" t="s">
        <v>72</v>
      </c>
      <c r="E16" s="3" t="s">
        <v>73</v>
      </c>
      <c r="F16" s="5">
        <v>49470</v>
      </c>
      <c r="G16" s="9">
        <v>9037.32</v>
      </c>
      <c r="H16" s="6">
        <v>2061.31</v>
      </c>
      <c r="I16" s="6">
        <v>11098.63</v>
      </c>
      <c r="J16" s="6">
        <v>5000</v>
      </c>
      <c r="K16" s="4" t="s">
        <v>49</v>
      </c>
      <c r="L16" s="4" t="s">
        <v>26</v>
      </c>
      <c r="M16" s="7" t="s">
        <v>21</v>
      </c>
      <c r="N16" s="8">
        <v>41789</v>
      </c>
    </row>
    <row r="17" spans="1:14" x14ac:dyDescent="0.25">
      <c r="A17" s="296" t="s">
        <v>74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</row>
    <row r="18" spans="1:14" x14ac:dyDescent="0.25">
      <c r="A18" s="1"/>
      <c r="B18" s="1"/>
      <c r="C18" s="3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3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3"/>
      <c r="D20" s="3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3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3"/>
      <c r="D22" s="3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3"/>
      <c r="D23" s="3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3"/>
      <c r="D24" s="3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3"/>
      <c r="D26" s="3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3"/>
      <c r="D27" s="3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3"/>
      <c r="D28" s="3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3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3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3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3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  <row r="43" spans="3:4" x14ac:dyDescent="0.25">
      <c r="C43" s="3"/>
      <c r="D43" s="3"/>
    </row>
    <row r="44" spans="3:4" x14ac:dyDescent="0.25">
      <c r="C44" s="3"/>
      <c r="D44" s="3"/>
    </row>
    <row r="45" spans="3:4" x14ac:dyDescent="0.25">
      <c r="C45" s="3"/>
      <c r="D45" s="3"/>
    </row>
    <row r="46" spans="3:4" x14ac:dyDescent="0.25">
      <c r="C46" s="3"/>
      <c r="D46" s="3"/>
    </row>
    <row r="47" spans="3:4" x14ac:dyDescent="0.25">
      <c r="C47" s="3"/>
      <c r="D47" s="3"/>
    </row>
    <row r="48" spans="3:4" x14ac:dyDescent="0.25">
      <c r="C48" s="3"/>
      <c r="D48" s="3"/>
    </row>
    <row r="49" spans="3:4" x14ac:dyDescent="0.25">
      <c r="C49" s="3"/>
      <c r="D49" s="3"/>
    </row>
    <row r="50" spans="3:4" x14ac:dyDescent="0.25">
      <c r="C50" s="3"/>
      <c r="D50" s="3"/>
    </row>
    <row r="51" spans="3:4" x14ac:dyDescent="0.25">
      <c r="C51" s="3"/>
      <c r="D51" s="3"/>
    </row>
    <row r="52" spans="3:4" x14ac:dyDescent="0.25">
      <c r="C52" s="3"/>
      <c r="D52" s="3"/>
    </row>
    <row r="53" spans="3:4" x14ac:dyDescent="0.25">
      <c r="C53" s="3"/>
      <c r="D53" s="3"/>
    </row>
    <row r="54" spans="3:4" x14ac:dyDescent="0.25">
      <c r="C54" s="3"/>
      <c r="D54" s="3"/>
    </row>
    <row r="55" spans="3:4" x14ac:dyDescent="0.25">
      <c r="C55" s="3"/>
      <c r="D55" s="3"/>
    </row>
    <row r="56" spans="3:4" x14ac:dyDescent="0.25">
      <c r="C56" s="3"/>
      <c r="D56" s="3"/>
    </row>
    <row r="57" spans="3:4" x14ac:dyDescent="0.25">
      <c r="C57" s="3"/>
      <c r="D57" s="3"/>
    </row>
    <row r="58" spans="3:4" x14ac:dyDescent="0.25">
      <c r="C58" s="3"/>
      <c r="D58" s="3"/>
    </row>
    <row r="59" spans="3:4" x14ac:dyDescent="0.25">
      <c r="C59" s="3"/>
      <c r="D59" s="3"/>
    </row>
    <row r="60" spans="3:4" x14ac:dyDescent="0.25">
      <c r="C60" s="3"/>
      <c r="D60" s="3"/>
    </row>
    <row r="61" spans="3:4" x14ac:dyDescent="0.25">
      <c r="C61" s="3"/>
      <c r="D61" s="3"/>
    </row>
    <row r="62" spans="3:4" x14ac:dyDescent="0.25">
      <c r="C62" s="3"/>
      <c r="D62" s="3"/>
    </row>
    <row r="63" spans="3:4" x14ac:dyDescent="0.25">
      <c r="C63" s="3"/>
      <c r="D63" s="3"/>
    </row>
    <row r="64" spans="3:4" x14ac:dyDescent="0.25">
      <c r="C64" s="3"/>
      <c r="D64" s="3"/>
    </row>
    <row r="65" spans="3:4" x14ac:dyDescent="0.25">
      <c r="C65" s="3"/>
      <c r="D65" s="3"/>
    </row>
    <row r="66" spans="3:4" x14ac:dyDescent="0.25">
      <c r="C66" s="3"/>
      <c r="D66" s="3"/>
    </row>
    <row r="67" spans="3:4" x14ac:dyDescent="0.25">
      <c r="C67" s="3"/>
      <c r="D67" s="3"/>
    </row>
    <row r="68" spans="3:4" x14ac:dyDescent="0.25">
      <c r="C68" s="3"/>
      <c r="D68" s="3"/>
    </row>
    <row r="69" spans="3:4" x14ac:dyDescent="0.25">
      <c r="C69" s="3"/>
      <c r="D69" s="3"/>
    </row>
    <row r="70" spans="3:4" x14ac:dyDescent="0.25">
      <c r="C70" s="3"/>
      <c r="D70" s="3"/>
    </row>
    <row r="71" spans="3:4" x14ac:dyDescent="0.25">
      <c r="C71" s="3"/>
      <c r="D71" s="3"/>
    </row>
    <row r="72" spans="3:4" x14ac:dyDescent="0.25">
      <c r="C72" s="3"/>
      <c r="D72" s="3"/>
    </row>
    <row r="73" spans="3:4" x14ac:dyDescent="0.25">
      <c r="C73" s="3"/>
      <c r="D73" s="3"/>
    </row>
    <row r="74" spans="3:4" x14ac:dyDescent="0.25">
      <c r="C74" s="3"/>
      <c r="D74" s="3"/>
    </row>
    <row r="75" spans="3:4" x14ac:dyDescent="0.25">
      <c r="C75" s="3"/>
      <c r="D75" s="3"/>
    </row>
    <row r="76" spans="3:4" x14ac:dyDescent="0.25">
      <c r="C76" s="3"/>
      <c r="D76" s="3"/>
    </row>
    <row r="77" spans="3:4" x14ac:dyDescent="0.25">
      <c r="C77" s="3"/>
      <c r="D77" s="3"/>
    </row>
    <row r="78" spans="3:4" x14ac:dyDescent="0.25">
      <c r="C78" s="3"/>
      <c r="D78" s="3"/>
    </row>
    <row r="79" spans="3:4" x14ac:dyDescent="0.25">
      <c r="C79" s="3"/>
      <c r="D79" s="3"/>
    </row>
    <row r="80" spans="3:4" x14ac:dyDescent="0.25">
      <c r="C80" s="3"/>
      <c r="D80" s="3"/>
    </row>
    <row r="81" spans="3:4" x14ac:dyDescent="0.25">
      <c r="C81" s="3"/>
      <c r="D81" s="3"/>
    </row>
    <row r="82" spans="3:4" x14ac:dyDescent="0.25">
      <c r="C82" s="3"/>
      <c r="D82" s="3"/>
    </row>
    <row r="83" spans="3:4" x14ac:dyDescent="0.25">
      <c r="C83" s="3"/>
      <c r="D83" s="3"/>
    </row>
    <row r="84" spans="3:4" x14ac:dyDescent="0.25">
      <c r="C84" s="3"/>
      <c r="D84" s="3"/>
    </row>
    <row r="85" spans="3:4" x14ac:dyDescent="0.25">
      <c r="C85" s="3"/>
      <c r="D85" s="3"/>
    </row>
    <row r="86" spans="3:4" x14ac:dyDescent="0.25">
      <c r="C86" s="3"/>
      <c r="D86" s="3"/>
    </row>
    <row r="87" spans="3:4" x14ac:dyDescent="0.25">
      <c r="C87" s="3"/>
      <c r="D87" s="3"/>
    </row>
    <row r="88" spans="3:4" x14ac:dyDescent="0.25">
      <c r="C88" s="3"/>
      <c r="D88" s="3"/>
    </row>
    <row r="89" spans="3:4" x14ac:dyDescent="0.25">
      <c r="C89" s="3"/>
      <c r="D89" s="3"/>
    </row>
    <row r="90" spans="3:4" x14ac:dyDescent="0.25">
      <c r="C90" s="3"/>
      <c r="D90" s="3"/>
    </row>
    <row r="91" spans="3:4" x14ac:dyDescent="0.25">
      <c r="C91" s="3"/>
      <c r="D91" s="3"/>
    </row>
    <row r="92" spans="3:4" x14ac:dyDescent="0.25">
      <c r="C92" s="3"/>
      <c r="D92" s="3"/>
    </row>
    <row r="93" spans="3:4" x14ac:dyDescent="0.25">
      <c r="C93" s="3"/>
      <c r="D93" s="3"/>
    </row>
    <row r="94" spans="3:4" x14ac:dyDescent="0.25">
      <c r="C94" s="3"/>
      <c r="D94" s="3"/>
    </row>
    <row r="95" spans="3:4" x14ac:dyDescent="0.25">
      <c r="C95" s="3"/>
      <c r="D95" s="3"/>
    </row>
    <row r="96" spans="3:4" x14ac:dyDescent="0.25">
      <c r="C96" s="3"/>
      <c r="D96" s="3"/>
    </row>
    <row r="97" spans="3:4" x14ac:dyDescent="0.25">
      <c r="C97" s="3"/>
      <c r="D97" s="3"/>
    </row>
    <row r="98" spans="3:4" x14ac:dyDescent="0.25">
      <c r="C98" s="3"/>
      <c r="D98" s="3"/>
    </row>
    <row r="99" spans="3:4" x14ac:dyDescent="0.25">
      <c r="C99" s="3"/>
      <c r="D99" s="3"/>
    </row>
    <row r="100" spans="3:4" x14ac:dyDescent="0.25">
      <c r="C100" s="3"/>
      <c r="D100" s="3"/>
    </row>
    <row r="101" spans="3:4" x14ac:dyDescent="0.25">
      <c r="C101" s="3"/>
      <c r="D101" s="3"/>
    </row>
    <row r="102" spans="3:4" x14ac:dyDescent="0.25">
      <c r="C102" s="3"/>
      <c r="D102" s="3"/>
    </row>
    <row r="103" spans="3:4" x14ac:dyDescent="0.25">
      <c r="C103" s="3"/>
      <c r="D103" s="3"/>
    </row>
    <row r="104" spans="3:4" x14ac:dyDescent="0.25">
      <c r="C104" s="3"/>
      <c r="D104" s="3"/>
    </row>
    <row r="105" spans="3:4" x14ac:dyDescent="0.25">
      <c r="C105" s="3"/>
      <c r="D105" s="3"/>
    </row>
    <row r="106" spans="3:4" x14ac:dyDescent="0.25">
      <c r="C106" s="3"/>
      <c r="D106" s="3"/>
    </row>
    <row r="107" spans="3:4" x14ac:dyDescent="0.25">
      <c r="C107" s="3"/>
      <c r="D107" s="3"/>
    </row>
    <row r="108" spans="3:4" x14ac:dyDescent="0.25">
      <c r="C108" s="3"/>
      <c r="D108" s="3"/>
    </row>
    <row r="109" spans="3:4" x14ac:dyDescent="0.25">
      <c r="C109" s="3"/>
      <c r="D109" s="3"/>
    </row>
    <row r="110" spans="3:4" x14ac:dyDescent="0.25">
      <c r="C110" s="3"/>
      <c r="D110" s="3"/>
    </row>
    <row r="111" spans="3:4" x14ac:dyDescent="0.25">
      <c r="C111" s="3"/>
      <c r="D111" s="3"/>
    </row>
    <row r="112" spans="3:4" x14ac:dyDescent="0.25">
      <c r="C112" s="3"/>
      <c r="D112" s="3"/>
    </row>
    <row r="113" spans="3:4" x14ac:dyDescent="0.25">
      <c r="C113" s="3"/>
      <c r="D113" s="3"/>
    </row>
    <row r="114" spans="3:4" x14ac:dyDescent="0.25">
      <c r="C114" s="3"/>
      <c r="D114" s="3"/>
    </row>
    <row r="115" spans="3:4" x14ac:dyDescent="0.25">
      <c r="C115" s="3"/>
      <c r="D115" s="3"/>
    </row>
    <row r="116" spans="3:4" x14ac:dyDescent="0.25">
      <c r="C116" s="3"/>
      <c r="D116" s="3"/>
    </row>
    <row r="117" spans="3:4" x14ac:dyDescent="0.25">
      <c r="C117" s="3"/>
      <c r="D117" s="3"/>
    </row>
    <row r="118" spans="3:4" x14ac:dyDescent="0.25">
      <c r="C118" s="3"/>
      <c r="D118" s="3"/>
    </row>
    <row r="119" spans="3:4" x14ac:dyDescent="0.25">
      <c r="C119" s="3"/>
      <c r="D119" s="3"/>
    </row>
    <row r="120" spans="3:4" x14ac:dyDescent="0.25">
      <c r="C120" s="3"/>
      <c r="D120" s="3"/>
    </row>
    <row r="121" spans="3:4" x14ac:dyDescent="0.25">
      <c r="C121" s="3"/>
      <c r="D121" s="3"/>
    </row>
    <row r="122" spans="3:4" x14ac:dyDescent="0.25">
      <c r="C122" s="3"/>
      <c r="D122" s="3"/>
    </row>
    <row r="123" spans="3:4" x14ac:dyDescent="0.25">
      <c r="C123" s="3"/>
      <c r="D123" s="3"/>
    </row>
    <row r="124" spans="3:4" x14ac:dyDescent="0.25">
      <c r="C124" s="3"/>
      <c r="D124" s="3"/>
    </row>
    <row r="125" spans="3:4" x14ac:dyDescent="0.25">
      <c r="C125" s="3"/>
      <c r="D125" s="3"/>
    </row>
    <row r="126" spans="3:4" x14ac:dyDescent="0.25">
      <c r="C126" s="3"/>
      <c r="D126" s="3"/>
    </row>
    <row r="127" spans="3:4" x14ac:dyDescent="0.25">
      <c r="C127" s="3"/>
      <c r="D127" s="3"/>
    </row>
    <row r="128" spans="3:4" x14ac:dyDescent="0.25">
      <c r="C128" s="3"/>
      <c r="D128" s="3"/>
    </row>
    <row r="129" spans="3:4" x14ac:dyDescent="0.25">
      <c r="C129" s="3"/>
      <c r="D129" s="3"/>
    </row>
    <row r="130" spans="3:4" x14ac:dyDescent="0.25">
      <c r="C130" s="3"/>
      <c r="D130" s="3"/>
    </row>
    <row r="131" spans="3:4" x14ac:dyDescent="0.25">
      <c r="C131" s="3"/>
      <c r="D131" s="3"/>
    </row>
    <row r="132" spans="3:4" x14ac:dyDescent="0.25">
      <c r="C132" s="3"/>
      <c r="D132" s="3"/>
    </row>
    <row r="133" spans="3:4" x14ac:dyDescent="0.25">
      <c r="C133" s="3"/>
      <c r="D133" s="3"/>
    </row>
    <row r="134" spans="3:4" x14ac:dyDescent="0.25">
      <c r="C134" s="3"/>
      <c r="D134" s="3"/>
    </row>
    <row r="135" spans="3:4" x14ac:dyDescent="0.25">
      <c r="C135" s="3"/>
      <c r="D135" s="3"/>
    </row>
    <row r="136" spans="3:4" x14ac:dyDescent="0.25">
      <c r="C136" s="3"/>
      <c r="D136" s="3"/>
    </row>
    <row r="137" spans="3:4" x14ac:dyDescent="0.25">
      <c r="C137" s="3"/>
      <c r="D137" s="3"/>
    </row>
    <row r="138" spans="3:4" x14ac:dyDescent="0.25">
      <c r="C138" s="3"/>
      <c r="D138" s="3"/>
    </row>
    <row r="139" spans="3:4" x14ac:dyDescent="0.25">
      <c r="C139" s="3"/>
      <c r="D139" s="3"/>
    </row>
    <row r="140" spans="3:4" x14ac:dyDescent="0.25">
      <c r="C140" s="3"/>
      <c r="D140" s="3"/>
    </row>
    <row r="141" spans="3:4" x14ac:dyDescent="0.25">
      <c r="C141" s="3"/>
      <c r="D141" s="3"/>
    </row>
    <row r="142" spans="3:4" x14ac:dyDescent="0.25">
      <c r="C142" s="3"/>
      <c r="D142" s="3"/>
    </row>
    <row r="143" spans="3:4" x14ac:dyDescent="0.25">
      <c r="C143" s="3"/>
      <c r="D143" s="3"/>
    </row>
    <row r="144" spans="3:4" x14ac:dyDescent="0.25">
      <c r="C144" s="3"/>
      <c r="D144" s="3"/>
    </row>
    <row r="145" spans="3:4" x14ac:dyDescent="0.25">
      <c r="C145" s="3"/>
      <c r="D145" s="3"/>
    </row>
    <row r="146" spans="3:4" x14ac:dyDescent="0.25">
      <c r="C146" s="3"/>
      <c r="D146" s="3"/>
    </row>
    <row r="147" spans="3:4" x14ac:dyDescent="0.25">
      <c r="C147" s="3"/>
      <c r="D147" s="3"/>
    </row>
    <row r="148" spans="3:4" x14ac:dyDescent="0.25">
      <c r="C148" s="3"/>
      <c r="D148" s="3"/>
    </row>
    <row r="149" spans="3:4" x14ac:dyDescent="0.25">
      <c r="C149" s="3"/>
      <c r="D149" s="3"/>
    </row>
    <row r="150" spans="3:4" x14ac:dyDescent="0.25">
      <c r="C150" s="3"/>
      <c r="D150" s="3"/>
    </row>
    <row r="151" spans="3:4" x14ac:dyDescent="0.25">
      <c r="C151" s="3"/>
      <c r="D151" s="3"/>
    </row>
    <row r="152" spans="3:4" x14ac:dyDescent="0.25">
      <c r="C152" s="3"/>
      <c r="D152" s="3"/>
    </row>
    <row r="153" spans="3:4" x14ac:dyDescent="0.25">
      <c r="C153" s="3"/>
      <c r="D153" s="3"/>
    </row>
    <row r="154" spans="3:4" x14ac:dyDescent="0.25">
      <c r="C154" s="3"/>
      <c r="D154" s="3"/>
    </row>
    <row r="155" spans="3:4" x14ac:dyDescent="0.25">
      <c r="C155" s="3"/>
      <c r="D155" s="3"/>
    </row>
    <row r="156" spans="3:4" x14ac:dyDescent="0.25">
      <c r="C156" s="3"/>
      <c r="D156" s="3"/>
    </row>
    <row r="157" spans="3:4" x14ac:dyDescent="0.25">
      <c r="C157" s="3"/>
      <c r="D157" s="3"/>
    </row>
    <row r="158" spans="3:4" x14ac:dyDescent="0.25">
      <c r="C158" s="3"/>
      <c r="D158" s="3"/>
    </row>
    <row r="159" spans="3:4" x14ac:dyDescent="0.25">
      <c r="C159" s="3"/>
      <c r="D159" s="3"/>
    </row>
    <row r="160" spans="3:4" x14ac:dyDescent="0.25">
      <c r="C160" s="3"/>
      <c r="D160" s="3"/>
    </row>
    <row r="161" spans="3:4" x14ac:dyDescent="0.25">
      <c r="C161" s="3"/>
      <c r="D161" s="3"/>
    </row>
    <row r="162" spans="3:4" x14ac:dyDescent="0.25">
      <c r="C162" s="3"/>
      <c r="D162" s="3"/>
    </row>
    <row r="163" spans="3:4" x14ac:dyDescent="0.25">
      <c r="C163" s="3"/>
      <c r="D163" s="3"/>
    </row>
    <row r="164" spans="3:4" x14ac:dyDescent="0.25">
      <c r="C164" s="3"/>
      <c r="D164" s="3"/>
    </row>
    <row r="165" spans="3:4" x14ac:dyDescent="0.25">
      <c r="C165" s="3"/>
      <c r="D165" s="3"/>
    </row>
    <row r="166" spans="3:4" x14ac:dyDescent="0.25">
      <c r="C166" s="3"/>
      <c r="D166" s="3"/>
    </row>
    <row r="167" spans="3:4" x14ac:dyDescent="0.25">
      <c r="C167" s="3"/>
      <c r="D167" s="3"/>
    </row>
    <row r="168" spans="3:4" x14ac:dyDescent="0.25">
      <c r="C168" s="3"/>
      <c r="D168" s="3"/>
    </row>
    <row r="169" spans="3:4" x14ac:dyDescent="0.25">
      <c r="C169" s="3"/>
      <c r="D169" s="3"/>
    </row>
    <row r="170" spans="3:4" x14ac:dyDescent="0.25">
      <c r="C170" s="3"/>
      <c r="D170" s="3"/>
    </row>
    <row r="171" spans="3:4" x14ac:dyDescent="0.25">
      <c r="C171" s="3"/>
      <c r="D171" s="3"/>
    </row>
    <row r="172" spans="3:4" x14ac:dyDescent="0.25">
      <c r="C172" s="3"/>
      <c r="D172" s="3"/>
    </row>
    <row r="173" spans="3:4" x14ac:dyDescent="0.25">
      <c r="C173" s="3"/>
      <c r="D173" s="3"/>
    </row>
    <row r="174" spans="3:4" x14ac:dyDescent="0.25">
      <c r="C174" s="3"/>
      <c r="D174" s="3"/>
    </row>
    <row r="175" spans="3:4" x14ac:dyDescent="0.25">
      <c r="C175" s="3"/>
      <c r="D175" s="3"/>
    </row>
    <row r="176" spans="3:4" x14ac:dyDescent="0.25">
      <c r="C176" s="3"/>
      <c r="D176" s="3"/>
    </row>
    <row r="177" spans="3:4" x14ac:dyDescent="0.25">
      <c r="C177" s="3"/>
      <c r="D177" s="3"/>
    </row>
    <row r="178" spans="3:4" x14ac:dyDescent="0.25">
      <c r="C178" s="3"/>
      <c r="D178" s="3"/>
    </row>
    <row r="179" spans="3:4" x14ac:dyDescent="0.25">
      <c r="C179" s="3"/>
      <c r="D179" s="3"/>
    </row>
    <row r="180" spans="3:4" x14ac:dyDescent="0.25">
      <c r="C180" s="3"/>
      <c r="D180" s="3"/>
    </row>
    <row r="181" spans="3:4" x14ac:dyDescent="0.25">
      <c r="C181" s="3"/>
      <c r="D181" s="3"/>
    </row>
    <row r="182" spans="3:4" x14ac:dyDescent="0.25">
      <c r="C182" s="3"/>
      <c r="D182" s="3"/>
    </row>
    <row r="183" spans="3:4" x14ac:dyDescent="0.25">
      <c r="C183" s="3"/>
      <c r="D183" s="3"/>
    </row>
    <row r="184" spans="3:4" x14ac:dyDescent="0.25">
      <c r="C184" s="3"/>
      <c r="D184" s="3"/>
    </row>
    <row r="185" spans="3:4" x14ac:dyDescent="0.25">
      <c r="C185" s="3"/>
      <c r="D185" s="3"/>
    </row>
    <row r="186" spans="3:4" x14ac:dyDescent="0.25">
      <c r="C186" s="3"/>
      <c r="D186" s="3"/>
    </row>
    <row r="187" spans="3:4" x14ac:dyDescent="0.25">
      <c r="C187" s="3"/>
      <c r="D187" s="3"/>
    </row>
    <row r="188" spans="3:4" x14ac:dyDescent="0.25">
      <c r="C188" s="3"/>
      <c r="D188" s="3"/>
    </row>
    <row r="189" spans="3:4" x14ac:dyDescent="0.25">
      <c r="C189" s="3"/>
      <c r="D189" s="3"/>
    </row>
    <row r="190" spans="3:4" x14ac:dyDescent="0.25">
      <c r="C190" s="3"/>
      <c r="D190" s="3"/>
    </row>
    <row r="191" spans="3:4" x14ac:dyDescent="0.25">
      <c r="C191" s="3"/>
      <c r="D191" s="3"/>
    </row>
    <row r="192" spans="3:4" x14ac:dyDescent="0.25">
      <c r="C192" s="3"/>
      <c r="D192" s="3"/>
    </row>
    <row r="193" spans="3:4" x14ac:dyDescent="0.25">
      <c r="C193" s="3"/>
      <c r="D193" s="3"/>
    </row>
    <row r="194" spans="3:4" x14ac:dyDescent="0.25">
      <c r="C194" s="3"/>
      <c r="D194" s="3"/>
    </row>
    <row r="195" spans="3:4" x14ac:dyDescent="0.25">
      <c r="C195" s="3"/>
      <c r="D195" s="3"/>
    </row>
    <row r="196" spans="3:4" x14ac:dyDescent="0.25">
      <c r="C196" s="3"/>
      <c r="D196" s="3"/>
    </row>
    <row r="197" spans="3:4" x14ac:dyDescent="0.25">
      <c r="C197" s="3"/>
      <c r="D197" s="3"/>
    </row>
    <row r="198" spans="3:4" x14ac:dyDescent="0.25">
      <c r="C198" s="3"/>
      <c r="D198" s="3"/>
    </row>
    <row r="199" spans="3:4" x14ac:dyDescent="0.25">
      <c r="C199" s="3"/>
      <c r="D199" s="3"/>
    </row>
    <row r="200" spans="3:4" x14ac:dyDescent="0.25">
      <c r="C200" s="3"/>
      <c r="D200" s="3"/>
    </row>
    <row r="201" spans="3:4" x14ac:dyDescent="0.25">
      <c r="C201" s="3"/>
      <c r="D201" s="3"/>
    </row>
    <row r="202" spans="3:4" x14ac:dyDescent="0.25">
      <c r="C202" s="3"/>
      <c r="D202" s="3"/>
    </row>
    <row r="203" spans="3:4" x14ac:dyDescent="0.25">
      <c r="C203" s="3"/>
      <c r="D203" s="3"/>
    </row>
    <row r="204" spans="3:4" x14ac:dyDescent="0.25">
      <c r="C204" s="3"/>
      <c r="D204" s="3"/>
    </row>
    <row r="205" spans="3:4" x14ac:dyDescent="0.25">
      <c r="C205" s="3"/>
      <c r="D205" s="3"/>
    </row>
    <row r="206" spans="3:4" x14ac:dyDescent="0.25">
      <c r="C206" s="3"/>
      <c r="D206" s="3"/>
    </row>
    <row r="207" spans="3:4" x14ac:dyDescent="0.25">
      <c r="C207" s="3"/>
      <c r="D207" s="3"/>
    </row>
    <row r="208" spans="3:4" x14ac:dyDescent="0.25">
      <c r="C208" s="3"/>
      <c r="D208" s="3"/>
    </row>
    <row r="209" spans="3:4" x14ac:dyDescent="0.25">
      <c r="C209" s="3"/>
      <c r="D209" s="3"/>
    </row>
    <row r="210" spans="3:4" x14ac:dyDescent="0.25">
      <c r="C210" s="3"/>
      <c r="D210" s="3"/>
    </row>
    <row r="211" spans="3:4" x14ac:dyDescent="0.25">
      <c r="C211" s="3"/>
      <c r="D211" s="3"/>
    </row>
    <row r="212" spans="3:4" x14ac:dyDescent="0.25">
      <c r="C212" s="3"/>
      <c r="D212" s="3"/>
    </row>
    <row r="213" spans="3:4" x14ac:dyDescent="0.25">
      <c r="C213" s="3"/>
      <c r="D213" s="3"/>
    </row>
    <row r="214" spans="3:4" x14ac:dyDescent="0.25">
      <c r="C214" s="3"/>
      <c r="D214" s="3"/>
    </row>
    <row r="215" spans="3:4" x14ac:dyDescent="0.25">
      <c r="C215" s="3"/>
      <c r="D215" s="3"/>
    </row>
    <row r="216" spans="3:4" x14ac:dyDescent="0.25">
      <c r="C216" s="3"/>
      <c r="D216" s="3"/>
    </row>
    <row r="217" spans="3:4" x14ac:dyDescent="0.25">
      <c r="C217" s="3"/>
      <c r="D217" s="3"/>
    </row>
    <row r="218" spans="3:4" x14ac:dyDescent="0.25">
      <c r="C218" s="3"/>
      <c r="D218" s="3"/>
    </row>
    <row r="219" spans="3:4" x14ac:dyDescent="0.25">
      <c r="C219" s="3"/>
      <c r="D219" s="3"/>
    </row>
    <row r="220" spans="3:4" x14ac:dyDescent="0.25">
      <c r="C220" s="3"/>
      <c r="D220" s="3"/>
    </row>
    <row r="221" spans="3:4" x14ac:dyDescent="0.25">
      <c r="C221" s="3"/>
      <c r="D221" s="3"/>
    </row>
    <row r="222" spans="3:4" x14ac:dyDescent="0.25">
      <c r="C222" s="3"/>
      <c r="D222" s="3"/>
    </row>
    <row r="223" spans="3:4" x14ac:dyDescent="0.25">
      <c r="C223" s="3"/>
      <c r="D223" s="3"/>
    </row>
    <row r="224" spans="3:4" x14ac:dyDescent="0.25">
      <c r="C224" s="3"/>
      <c r="D224" s="3"/>
    </row>
    <row r="225" spans="3:4" x14ac:dyDescent="0.25">
      <c r="C225" s="3"/>
      <c r="D225" s="3"/>
    </row>
    <row r="226" spans="3:4" x14ac:dyDescent="0.25">
      <c r="C226" s="3"/>
      <c r="D226" s="3"/>
    </row>
    <row r="227" spans="3:4" x14ac:dyDescent="0.25">
      <c r="C227" s="3"/>
      <c r="D227" s="3"/>
    </row>
    <row r="228" spans="3:4" x14ac:dyDescent="0.25">
      <c r="C228" s="3"/>
      <c r="D228" s="3"/>
    </row>
    <row r="229" spans="3:4" x14ac:dyDescent="0.25">
      <c r="C229" s="3"/>
      <c r="D229" s="3"/>
    </row>
    <row r="230" spans="3:4" x14ac:dyDescent="0.25">
      <c r="C230" s="3"/>
      <c r="D230" s="3"/>
    </row>
    <row r="231" spans="3:4" x14ac:dyDescent="0.25">
      <c r="C231" s="3"/>
      <c r="D231" s="3"/>
    </row>
    <row r="232" spans="3:4" x14ac:dyDescent="0.25">
      <c r="C232" s="3"/>
      <c r="D232" s="3"/>
    </row>
    <row r="233" spans="3:4" x14ac:dyDescent="0.25">
      <c r="C233" s="3"/>
      <c r="D233" s="3"/>
    </row>
    <row r="234" spans="3:4" x14ac:dyDescent="0.25">
      <c r="C234" s="3"/>
      <c r="D234" s="3"/>
    </row>
    <row r="235" spans="3:4" x14ac:dyDescent="0.25">
      <c r="C235" s="3"/>
      <c r="D235" s="3"/>
    </row>
    <row r="236" spans="3:4" x14ac:dyDescent="0.25">
      <c r="C236" s="3"/>
      <c r="D236" s="3"/>
    </row>
    <row r="237" spans="3:4" x14ac:dyDescent="0.25">
      <c r="C237" s="3"/>
      <c r="D237" s="3"/>
    </row>
    <row r="238" spans="3:4" x14ac:dyDescent="0.25">
      <c r="C238" s="3"/>
      <c r="D238" s="3"/>
    </row>
    <row r="239" spans="3:4" x14ac:dyDescent="0.25">
      <c r="C239" s="3"/>
      <c r="D239" s="3"/>
    </row>
    <row r="240" spans="3:4" x14ac:dyDescent="0.25">
      <c r="C240" s="3"/>
      <c r="D240" s="3"/>
    </row>
    <row r="241" spans="3:4" x14ac:dyDescent="0.25">
      <c r="C241" s="3"/>
      <c r="D241" s="3"/>
    </row>
    <row r="242" spans="3:4" x14ac:dyDescent="0.25">
      <c r="C242" s="3"/>
      <c r="D242" s="3"/>
    </row>
    <row r="243" spans="3:4" x14ac:dyDescent="0.25">
      <c r="C243" s="3"/>
      <c r="D243" s="3"/>
    </row>
    <row r="244" spans="3:4" x14ac:dyDescent="0.25">
      <c r="C244" s="3"/>
      <c r="D244" s="3"/>
    </row>
    <row r="245" spans="3:4" x14ac:dyDescent="0.25">
      <c r="C245" s="3"/>
      <c r="D245" s="3"/>
    </row>
    <row r="246" spans="3:4" x14ac:dyDescent="0.25">
      <c r="C246" s="3"/>
      <c r="D246" s="3"/>
    </row>
    <row r="247" spans="3:4" x14ac:dyDescent="0.25">
      <c r="C247" s="3"/>
      <c r="D247" s="3"/>
    </row>
    <row r="248" spans="3:4" x14ac:dyDescent="0.25">
      <c r="C248" s="3"/>
      <c r="D248" s="3"/>
    </row>
    <row r="249" spans="3:4" x14ac:dyDescent="0.25">
      <c r="C249" s="3"/>
      <c r="D249" s="3"/>
    </row>
    <row r="250" spans="3:4" x14ac:dyDescent="0.25">
      <c r="C250" s="3"/>
      <c r="D250" s="3"/>
    </row>
    <row r="251" spans="3:4" x14ac:dyDescent="0.25">
      <c r="C251" s="3"/>
      <c r="D251" s="3"/>
    </row>
    <row r="252" spans="3:4" x14ac:dyDescent="0.25">
      <c r="C252" s="3"/>
      <c r="D252" s="3"/>
    </row>
    <row r="253" spans="3:4" x14ac:dyDescent="0.25">
      <c r="C253" s="3"/>
      <c r="D253" s="3"/>
    </row>
    <row r="254" spans="3:4" x14ac:dyDescent="0.25">
      <c r="C254" s="3"/>
      <c r="D254" s="3"/>
    </row>
    <row r="255" spans="3:4" x14ac:dyDescent="0.25">
      <c r="C255" s="3"/>
      <c r="D255" s="3"/>
    </row>
    <row r="256" spans="3:4" x14ac:dyDescent="0.25">
      <c r="C256" s="3"/>
      <c r="D256" s="3"/>
    </row>
    <row r="257" spans="3:4" x14ac:dyDescent="0.25">
      <c r="C257" s="3"/>
      <c r="D257" s="3"/>
    </row>
    <row r="258" spans="3:4" x14ac:dyDescent="0.25">
      <c r="C258" s="3"/>
      <c r="D258" s="3"/>
    </row>
    <row r="259" spans="3:4" x14ac:dyDescent="0.25">
      <c r="C259" s="3"/>
      <c r="D259" s="3"/>
    </row>
    <row r="260" spans="3:4" x14ac:dyDescent="0.25">
      <c r="C260" s="3"/>
      <c r="D260" s="3"/>
    </row>
    <row r="261" spans="3:4" x14ac:dyDescent="0.25">
      <c r="C261" s="3"/>
      <c r="D261" s="3"/>
    </row>
    <row r="262" spans="3:4" x14ac:dyDescent="0.25">
      <c r="C262" s="3"/>
      <c r="D262" s="3"/>
    </row>
    <row r="263" spans="3:4" x14ac:dyDescent="0.25">
      <c r="C263" s="3"/>
      <c r="D263" s="3"/>
    </row>
    <row r="264" spans="3:4" x14ac:dyDescent="0.25">
      <c r="C264" s="3"/>
      <c r="D264" s="3"/>
    </row>
    <row r="265" spans="3:4" x14ac:dyDescent="0.25">
      <c r="C265" s="3"/>
      <c r="D265" s="3"/>
    </row>
    <row r="266" spans="3:4" x14ac:dyDescent="0.25">
      <c r="C266" s="3"/>
      <c r="D266" s="3"/>
    </row>
    <row r="267" spans="3:4" x14ac:dyDescent="0.25">
      <c r="C267" s="3"/>
      <c r="D267" s="3"/>
    </row>
    <row r="268" spans="3:4" x14ac:dyDescent="0.25">
      <c r="C268" s="3"/>
      <c r="D268" s="3"/>
    </row>
    <row r="269" spans="3:4" x14ac:dyDescent="0.25">
      <c r="C269" s="3"/>
      <c r="D269" s="3"/>
    </row>
    <row r="270" spans="3:4" x14ac:dyDescent="0.25">
      <c r="C270" s="3"/>
      <c r="D270" s="3"/>
    </row>
    <row r="271" spans="3:4" x14ac:dyDescent="0.25">
      <c r="C271" s="3"/>
      <c r="D271" s="3"/>
    </row>
    <row r="272" spans="3:4" x14ac:dyDescent="0.25">
      <c r="C272" s="3"/>
      <c r="D272" s="3"/>
    </row>
    <row r="273" spans="3:4" x14ac:dyDescent="0.25">
      <c r="C273" s="3"/>
      <c r="D273" s="3"/>
    </row>
    <row r="274" spans="3:4" x14ac:dyDescent="0.25">
      <c r="C274" s="3"/>
      <c r="D274" s="3"/>
    </row>
    <row r="275" spans="3:4" x14ac:dyDescent="0.25">
      <c r="C275" s="3"/>
      <c r="D275" s="3"/>
    </row>
    <row r="276" spans="3:4" x14ac:dyDescent="0.25">
      <c r="C276" s="3"/>
      <c r="D276" s="3"/>
    </row>
    <row r="277" spans="3:4" x14ac:dyDescent="0.25">
      <c r="C277" s="3"/>
      <c r="D277" s="3"/>
    </row>
    <row r="278" spans="3:4" x14ac:dyDescent="0.25">
      <c r="C278" s="3"/>
      <c r="D278" s="3"/>
    </row>
    <row r="279" spans="3:4" x14ac:dyDescent="0.25">
      <c r="C279" s="3"/>
      <c r="D279" s="3"/>
    </row>
    <row r="280" spans="3:4" x14ac:dyDescent="0.25">
      <c r="C280" s="3"/>
      <c r="D280" s="3"/>
    </row>
    <row r="281" spans="3:4" x14ac:dyDescent="0.25">
      <c r="C281" s="3"/>
      <c r="D281" s="3"/>
    </row>
    <row r="282" spans="3:4" x14ac:dyDescent="0.25">
      <c r="C282" s="3"/>
      <c r="D282" s="3"/>
    </row>
    <row r="283" spans="3:4" x14ac:dyDescent="0.25">
      <c r="C283" s="3"/>
      <c r="D283" s="3"/>
    </row>
    <row r="284" spans="3:4" x14ac:dyDescent="0.25">
      <c r="C284" s="3"/>
      <c r="D284" s="3"/>
    </row>
    <row r="285" spans="3:4" x14ac:dyDescent="0.25">
      <c r="C285" s="3"/>
      <c r="D285" s="3"/>
    </row>
    <row r="286" spans="3:4" x14ac:dyDescent="0.25">
      <c r="C286" s="3"/>
      <c r="D286" s="3"/>
    </row>
    <row r="287" spans="3:4" x14ac:dyDescent="0.25">
      <c r="C287" s="3"/>
      <c r="D287" s="3"/>
    </row>
    <row r="288" spans="3:4" x14ac:dyDescent="0.25">
      <c r="C288" s="3"/>
      <c r="D288" s="3"/>
    </row>
    <row r="289" spans="3:4" x14ac:dyDescent="0.25">
      <c r="C289" s="3"/>
      <c r="D289" s="3"/>
    </row>
    <row r="290" spans="3:4" x14ac:dyDescent="0.25">
      <c r="C290" s="3"/>
      <c r="D290" s="3"/>
    </row>
    <row r="291" spans="3:4" x14ac:dyDescent="0.25">
      <c r="C291" s="3"/>
      <c r="D291" s="3"/>
    </row>
    <row r="292" spans="3:4" x14ac:dyDescent="0.25">
      <c r="C292" s="3"/>
      <c r="D292" s="3"/>
    </row>
    <row r="293" spans="3:4" x14ac:dyDescent="0.25">
      <c r="C293" s="3"/>
      <c r="D293" s="3"/>
    </row>
    <row r="294" spans="3:4" x14ac:dyDescent="0.25">
      <c r="C294" s="3"/>
      <c r="D294" s="3"/>
    </row>
    <row r="295" spans="3:4" x14ac:dyDescent="0.25">
      <c r="C295" s="3"/>
      <c r="D295" s="3"/>
    </row>
    <row r="296" spans="3:4" x14ac:dyDescent="0.25">
      <c r="C296" s="3"/>
      <c r="D296" s="3"/>
    </row>
    <row r="297" spans="3:4" x14ac:dyDescent="0.25">
      <c r="C297" s="3"/>
      <c r="D297" s="3"/>
    </row>
    <row r="298" spans="3:4" x14ac:dyDescent="0.25">
      <c r="C298" s="3"/>
      <c r="D298" s="3"/>
    </row>
    <row r="299" spans="3:4" x14ac:dyDescent="0.25">
      <c r="C299" s="3"/>
      <c r="D299" s="3"/>
    </row>
    <row r="300" spans="3:4" x14ac:dyDescent="0.25">
      <c r="C300" s="3"/>
      <c r="D300" s="3"/>
    </row>
    <row r="301" spans="3:4" x14ac:dyDescent="0.25">
      <c r="C301" s="3"/>
      <c r="D301" s="3"/>
    </row>
    <row r="302" spans="3:4" x14ac:dyDescent="0.25">
      <c r="C302" s="3"/>
      <c r="D302" s="3"/>
    </row>
    <row r="303" spans="3:4" x14ac:dyDescent="0.25">
      <c r="C303" s="3"/>
      <c r="D303" s="3"/>
    </row>
    <row r="304" spans="3:4" x14ac:dyDescent="0.25">
      <c r="C304" s="3"/>
      <c r="D304" s="3"/>
    </row>
    <row r="305" spans="3:4" x14ac:dyDescent="0.25">
      <c r="C305" s="3"/>
      <c r="D305" s="3"/>
    </row>
    <row r="306" spans="3:4" x14ac:dyDescent="0.25">
      <c r="C306" s="3"/>
      <c r="D306" s="3"/>
    </row>
    <row r="307" spans="3:4" x14ac:dyDescent="0.25">
      <c r="C307" s="3"/>
      <c r="D307" s="3"/>
    </row>
    <row r="308" spans="3:4" x14ac:dyDescent="0.25">
      <c r="C308" s="3"/>
      <c r="D308" s="3"/>
    </row>
    <row r="309" spans="3:4" x14ac:dyDescent="0.25">
      <c r="C309" s="3"/>
      <c r="D309" s="3"/>
    </row>
    <row r="310" spans="3:4" x14ac:dyDescent="0.25">
      <c r="C310" s="3"/>
      <c r="D310" s="3"/>
    </row>
    <row r="311" spans="3:4" x14ac:dyDescent="0.25">
      <c r="C311" s="3"/>
      <c r="D311" s="3"/>
    </row>
  </sheetData>
  <mergeCells count="2">
    <mergeCell ref="A1:N1"/>
    <mergeCell ref="A17:N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0"/>
  <sheetViews>
    <sheetView workbookViewId="0">
      <selection sqref="A1:XFD1048576"/>
    </sheetView>
  </sheetViews>
  <sheetFormatPr defaultRowHeight="15" x14ac:dyDescent="0.25"/>
  <cols>
    <col min="1" max="1" width="5.42578125" style="20" bestFit="1" customWidth="1"/>
    <col min="2" max="2" width="15.5703125" style="20" bestFit="1" customWidth="1"/>
    <col min="3" max="3" width="10" style="26" bestFit="1" customWidth="1"/>
    <col min="4" max="4" width="18.85546875" style="26" bestFit="1" customWidth="1"/>
    <col min="5" max="5" width="10.140625" style="20" bestFit="1" customWidth="1"/>
    <col min="6" max="6" width="12.85546875" style="29" bestFit="1" customWidth="1"/>
    <col min="7" max="7" width="10" style="27" bestFit="1" customWidth="1"/>
    <col min="8" max="8" width="8.140625" style="27" bestFit="1" customWidth="1"/>
    <col min="9" max="9" width="8.28515625" style="18" bestFit="1" customWidth="1"/>
    <col min="10" max="10" width="8" style="20" bestFit="1" customWidth="1"/>
    <col min="11" max="11" width="12" style="20" bestFit="1" customWidth="1"/>
    <col min="12" max="12" width="11.5703125" style="20" bestFit="1" customWidth="1"/>
    <col min="13" max="13" width="7.7109375" style="20" bestFit="1" customWidth="1"/>
    <col min="14" max="14" width="15.7109375" style="20" bestFit="1" customWidth="1"/>
    <col min="15" max="256" width="9.140625" style="20"/>
    <col min="257" max="257" width="5.42578125" style="20" bestFit="1" customWidth="1"/>
    <col min="258" max="258" width="15.5703125" style="20" bestFit="1" customWidth="1"/>
    <col min="259" max="259" width="10" style="20" bestFit="1" customWidth="1"/>
    <col min="260" max="260" width="18.85546875" style="20" bestFit="1" customWidth="1"/>
    <col min="261" max="261" width="10.140625" style="20" bestFit="1" customWidth="1"/>
    <col min="262" max="262" width="12.85546875" style="20" bestFit="1" customWidth="1"/>
    <col min="263" max="263" width="10" style="20" bestFit="1" customWidth="1"/>
    <col min="264" max="264" width="8.140625" style="20" bestFit="1" customWidth="1"/>
    <col min="265" max="265" width="8.28515625" style="20" bestFit="1" customWidth="1"/>
    <col min="266" max="268" width="12.7109375" style="20" customWidth="1"/>
    <col min="269" max="269" width="7.7109375" style="20" bestFit="1" customWidth="1"/>
    <col min="270" max="270" width="14.85546875" style="20" customWidth="1"/>
    <col min="271" max="512" width="9.140625" style="20"/>
    <col min="513" max="513" width="5.42578125" style="20" bestFit="1" customWidth="1"/>
    <col min="514" max="514" width="15.5703125" style="20" bestFit="1" customWidth="1"/>
    <col min="515" max="515" width="10" style="20" bestFit="1" customWidth="1"/>
    <col min="516" max="516" width="18.85546875" style="20" bestFit="1" customWidth="1"/>
    <col min="517" max="517" width="10.140625" style="20" bestFit="1" customWidth="1"/>
    <col min="518" max="518" width="12.85546875" style="20" bestFit="1" customWidth="1"/>
    <col min="519" max="519" width="10" style="20" bestFit="1" customWidth="1"/>
    <col min="520" max="520" width="8.140625" style="20" bestFit="1" customWidth="1"/>
    <col min="521" max="521" width="8.28515625" style="20" bestFit="1" customWidth="1"/>
    <col min="522" max="524" width="12.7109375" style="20" customWidth="1"/>
    <col min="525" max="525" width="7.7109375" style="20" bestFit="1" customWidth="1"/>
    <col min="526" max="526" width="14.85546875" style="20" customWidth="1"/>
    <col min="527" max="768" width="9.140625" style="20"/>
    <col min="769" max="769" width="5.42578125" style="20" bestFit="1" customWidth="1"/>
    <col min="770" max="770" width="15.5703125" style="20" bestFit="1" customWidth="1"/>
    <col min="771" max="771" width="10" style="20" bestFit="1" customWidth="1"/>
    <col min="772" max="772" width="18.85546875" style="20" bestFit="1" customWidth="1"/>
    <col min="773" max="773" width="10.140625" style="20" bestFit="1" customWidth="1"/>
    <col min="774" max="774" width="12.85546875" style="20" bestFit="1" customWidth="1"/>
    <col min="775" max="775" width="10" style="20" bestFit="1" customWidth="1"/>
    <col min="776" max="776" width="8.140625" style="20" bestFit="1" customWidth="1"/>
    <col min="777" max="777" width="8.28515625" style="20" bestFit="1" customWidth="1"/>
    <col min="778" max="780" width="12.7109375" style="20" customWidth="1"/>
    <col min="781" max="781" width="7.7109375" style="20" bestFit="1" customWidth="1"/>
    <col min="782" max="782" width="14.85546875" style="20" customWidth="1"/>
    <col min="783" max="1024" width="9.140625" style="20"/>
    <col min="1025" max="1025" width="5.42578125" style="20" bestFit="1" customWidth="1"/>
    <col min="1026" max="1026" width="15.5703125" style="20" bestFit="1" customWidth="1"/>
    <col min="1027" max="1027" width="10" style="20" bestFit="1" customWidth="1"/>
    <col min="1028" max="1028" width="18.85546875" style="20" bestFit="1" customWidth="1"/>
    <col min="1029" max="1029" width="10.140625" style="20" bestFit="1" customWidth="1"/>
    <col min="1030" max="1030" width="12.85546875" style="20" bestFit="1" customWidth="1"/>
    <col min="1031" max="1031" width="10" style="20" bestFit="1" customWidth="1"/>
    <col min="1032" max="1032" width="8.140625" style="20" bestFit="1" customWidth="1"/>
    <col min="1033" max="1033" width="8.28515625" style="20" bestFit="1" customWidth="1"/>
    <col min="1034" max="1036" width="12.7109375" style="20" customWidth="1"/>
    <col min="1037" max="1037" width="7.7109375" style="20" bestFit="1" customWidth="1"/>
    <col min="1038" max="1038" width="14.85546875" style="20" customWidth="1"/>
    <col min="1039" max="1280" width="9.140625" style="20"/>
    <col min="1281" max="1281" width="5.42578125" style="20" bestFit="1" customWidth="1"/>
    <col min="1282" max="1282" width="15.5703125" style="20" bestFit="1" customWidth="1"/>
    <col min="1283" max="1283" width="10" style="20" bestFit="1" customWidth="1"/>
    <col min="1284" max="1284" width="18.85546875" style="20" bestFit="1" customWidth="1"/>
    <col min="1285" max="1285" width="10.140625" style="20" bestFit="1" customWidth="1"/>
    <col min="1286" max="1286" width="12.85546875" style="20" bestFit="1" customWidth="1"/>
    <col min="1287" max="1287" width="10" style="20" bestFit="1" customWidth="1"/>
    <col min="1288" max="1288" width="8.140625" style="20" bestFit="1" customWidth="1"/>
    <col min="1289" max="1289" width="8.28515625" style="20" bestFit="1" customWidth="1"/>
    <col min="1290" max="1292" width="12.7109375" style="20" customWidth="1"/>
    <col min="1293" max="1293" width="7.7109375" style="20" bestFit="1" customWidth="1"/>
    <col min="1294" max="1294" width="14.85546875" style="20" customWidth="1"/>
    <col min="1295" max="1536" width="9.140625" style="20"/>
    <col min="1537" max="1537" width="5.42578125" style="20" bestFit="1" customWidth="1"/>
    <col min="1538" max="1538" width="15.5703125" style="20" bestFit="1" customWidth="1"/>
    <col min="1539" max="1539" width="10" style="20" bestFit="1" customWidth="1"/>
    <col min="1540" max="1540" width="18.85546875" style="20" bestFit="1" customWidth="1"/>
    <col min="1541" max="1541" width="10.140625" style="20" bestFit="1" customWidth="1"/>
    <col min="1542" max="1542" width="12.85546875" style="20" bestFit="1" customWidth="1"/>
    <col min="1543" max="1543" width="10" style="20" bestFit="1" customWidth="1"/>
    <col min="1544" max="1544" width="8.140625" style="20" bestFit="1" customWidth="1"/>
    <col min="1545" max="1545" width="8.28515625" style="20" bestFit="1" customWidth="1"/>
    <col min="1546" max="1548" width="12.7109375" style="20" customWidth="1"/>
    <col min="1549" max="1549" width="7.7109375" style="20" bestFit="1" customWidth="1"/>
    <col min="1550" max="1550" width="14.85546875" style="20" customWidth="1"/>
    <col min="1551" max="1792" width="9.140625" style="20"/>
    <col min="1793" max="1793" width="5.42578125" style="20" bestFit="1" customWidth="1"/>
    <col min="1794" max="1794" width="15.5703125" style="20" bestFit="1" customWidth="1"/>
    <col min="1795" max="1795" width="10" style="20" bestFit="1" customWidth="1"/>
    <col min="1796" max="1796" width="18.85546875" style="20" bestFit="1" customWidth="1"/>
    <col min="1797" max="1797" width="10.140625" style="20" bestFit="1" customWidth="1"/>
    <col min="1798" max="1798" width="12.85546875" style="20" bestFit="1" customWidth="1"/>
    <col min="1799" max="1799" width="10" style="20" bestFit="1" customWidth="1"/>
    <col min="1800" max="1800" width="8.140625" style="20" bestFit="1" customWidth="1"/>
    <col min="1801" max="1801" width="8.28515625" style="20" bestFit="1" customWidth="1"/>
    <col min="1802" max="1804" width="12.7109375" style="20" customWidth="1"/>
    <col min="1805" max="1805" width="7.7109375" style="20" bestFit="1" customWidth="1"/>
    <col min="1806" max="1806" width="14.85546875" style="20" customWidth="1"/>
    <col min="1807" max="2048" width="9.140625" style="20"/>
    <col min="2049" max="2049" width="5.42578125" style="20" bestFit="1" customWidth="1"/>
    <col min="2050" max="2050" width="15.5703125" style="20" bestFit="1" customWidth="1"/>
    <col min="2051" max="2051" width="10" style="20" bestFit="1" customWidth="1"/>
    <col min="2052" max="2052" width="18.85546875" style="20" bestFit="1" customWidth="1"/>
    <col min="2053" max="2053" width="10.140625" style="20" bestFit="1" customWidth="1"/>
    <col min="2054" max="2054" width="12.85546875" style="20" bestFit="1" customWidth="1"/>
    <col min="2055" max="2055" width="10" style="20" bestFit="1" customWidth="1"/>
    <col min="2056" max="2056" width="8.140625" style="20" bestFit="1" customWidth="1"/>
    <col min="2057" max="2057" width="8.28515625" style="20" bestFit="1" customWidth="1"/>
    <col min="2058" max="2060" width="12.7109375" style="20" customWidth="1"/>
    <col min="2061" max="2061" width="7.7109375" style="20" bestFit="1" customWidth="1"/>
    <col min="2062" max="2062" width="14.85546875" style="20" customWidth="1"/>
    <col min="2063" max="2304" width="9.140625" style="20"/>
    <col min="2305" max="2305" width="5.42578125" style="20" bestFit="1" customWidth="1"/>
    <col min="2306" max="2306" width="15.5703125" style="20" bestFit="1" customWidth="1"/>
    <col min="2307" max="2307" width="10" style="20" bestFit="1" customWidth="1"/>
    <col min="2308" max="2308" width="18.85546875" style="20" bestFit="1" customWidth="1"/>
    <col min="2309" max="2309" width="10.140625" style="20" bestFit="1" customWidth="1"/>
    <col min="2310" max="2310" width="12.85546875" style="20" bestFit="1" customWidth="1"/>
    <col min="2311" max="2311" width="10" style="20" bestFit="1" customWidth="1"/>
    <col min="2312" max="2312" width="8.140625" style="20" bestFit="1" customWidth="1"/>
    <col min="2313" max="2313" width="8.28515625" style="20" bestFit="1" customWidth="1"/>
    <col min="2314" max="2316" width="12.7109375" style="20" customWidth="1"/>
    <col min="2317" max="2317" width="7.7109375" style="20" bestFit="1" customWidth="1"/>
    <col min="2318" max="2318" width="14.85546875" style="20" customWidth="1"/>
    <col min="2319" max="2560" width="9.140625" style="20"/>
    <col min="2561" max="2561" width="5.42578125" style="20" bestFit="1" customWidth="1"/>
    <col min="2562" max="2562" width="15.5703125" style="20" bestFit="1" customWidth="1"/>
    <col min="2563" max="2563" width="10" style="20" bestFit="1" customWidth="1"/>
    <col min="2564" max="2564" width="18.85546875" style="20" bestFit="1" customWidth="1"/>
    <col min="2565" max="2565" width="10.140625" style="20" bestFit="1" customWidth="1"/>
    <col min="2566" max="2566" width="12.85546875" style="20" bestFit="1" customWidth="1"/>
    <col min="2567" max="2567" width="10" style="20" bestFit="1" customWidth="1"/>
    <col min="2568" max="2568" width="8.140625" style="20" bestFit="1" customWidth="1"/>
    <col min="2569" max="2569" width="8.28515625" style="20" bestFit="1" customWidth="1"/>
    <col min="2570" max="2572" width="12.7109375" style="20" customWidth="1"/>
    <col min="2573" max="2573" width="7.7109375" style="20" bestFit="1" customWidth="1"/>
    <col min="2574" max="2574" width="14.85546875" style="20" customWidth="1"/>
    <col min="2575" max="2816" width="9.140625" style="20"/>
    <col min="2817" max="2817" width="5.42578125" style="20" bestFit="1" customWidth="1"/>
    <col min="2818" max="2818" width="15.5703125" style="20" bestFit="1" customWidth="1"/>
    <col min="2819" max="2819" width="10" style="20" bestFit="1" customWidth="1"/>
    <col min="2820" max="2820" width="18.85546875" style="20" bestFit="1" customWidth="1"/>
    <col min="2821" max="2821" width="10.140625" style="20" bestFit="1" customWidth="1"/>
    <col min="2822" max="2822" width="12.85546875" style="20" bestFit="1" customWidth="1"/>
    <col min="2823" max="2823" width="10" style="20" bestFit="1" customWidth="1"/>
    <col min="2824" max="2824" width="8.140625" style="20" bestFit="1" customWidth="1"/>
    <col min="2825" max="2825" width="8.28515625" style="20" bestFit="1" customWidth="1"/>
    <col min="2826" max="2828" width="12.7109375" style="20" customWidth="1"/>
    <col min="2829" max="2829" width="7.7109375" style="20" bestFit="1" customWidth="1"/>
    <col min="2830" max="2830" width="14.85546875" style="20" customWidth="1"/>
    <col min="2831" max="3072" width="9.140625" style="20"/>
    <col min="3073" max="3073" width="5.42578125" style="20" bestFit="1" customWidth="1"/>
    <col min="3074" max="3074" width="15.5703125" style="20" bestFit="1" customWidth="1"/>
    <col min="3075" max="3075" width="10" style="20" bestFit="1" customWidth="1"/>
    <col min="3076" max="3076" width="18.85546875" style="20" bestFit="1" customWidth="1"/>
    <col min="3077" max="3077" width="10.140625" style="20" bestFit="1" customWidth="1"/>
    <col min="3078" max="3078" width="12.85546875" style="20" bestFit="1" customWidth="1"/>
    <col min="3079" max="3079" width="10" style="20" bestFit="1" customWidth="1"/>
    <col min="3080" max="3080" width="8.140625" style="20" bestFit="1" customWidth="1"/>
    <col min="3081" max="3081" width="8.28515625" style="20" bestFit="1" customWidth="1"/>
    <col min="3082" max="3084" width="12.7109375" style="20" customWidth="1"/>
    <col min="3085" max="3085" width="7.7109375" style="20" bestFit="1" customWidth="1"/>
    <col min="3086" max="3086" width="14.85546875" style="20" customWidth="1"/>
    <col min="3087" max="3328" width="9.140625" style="20"/>
    <col min="3329" max="3329" width="5.42578125" style="20" bestFit="1" customWidth="1"/>
    <col min="3330" max="3330" width="15.5703125" style="20" bestFit="1" customWidth="1"/>
    <col min="3331" max="3331" width="10" style="20" bestFit="1" customWidth="1"/>
    <col min="3332" max="3332" width="18.85546875" style="20" bestFit="1" customWidth="1"/>
    <col min="3333" max="3333" width="10.140625" style="20" bestFit="1" customWidth="1"/>
    <col min="3334" max="3334" width="12.85546875" style="20" bestFit="1" customWidth="1"/>
    <col min="3335" max="3335" width="10" style="20" bestFit="1" customWidth="1"/>
    <col min="3336" max="3336" width="8.140625" style="20" bestFit="1" customWidth="1"/>
    <col min="3337" max="3337" width="8.28515625" style="20" bestFit="1" customWidth="1"/>
    <col min="3338" max="3340" width="12.7109375" style="20" customWidth="1"/>
    <col min="3341" max="3341" width="7.7109375" style="20" bestFit="1" customWidth="1"/>
    <col min="3342" max="3342" width="14.85546875" style="20" customWidth="1"/>
    <col min="3343" max="3584" width="9.140625" style="20"/>
    <col min="3585" max="3585" width="5.42578125" style="20" bestFit="1" customWidth="1"/>
    <col min="3586" max="3586" width="15.5703125" style="20" bestFit="1" customWidth="1"/>
    <col min="3587" max="3587" width="10" style="20" bestFit="1" customWidth="1"/>
    <col min="3588" max="3588" width="18.85546875" style="20" bestFit="1" customWidth="1"/>
    <col min="3589" max="3589" width="10.140625" style="20" bestFit="1" customWidth="1"/>
    <col min="3590" max="3590" width="12.85546875" style="20" bestFit="1" customWidth="1"/>
    <col min="3591" max="3591" width="10" style="20" bestFit="1" customWidth="1"/>
    <col min="3592" max="3592" width="8.140625" style="20" bestFit="1" customWidth="1"/>
    <col min="3593" max="3593" width="8.28515625" style="20" bestFit="1" customWidth="1"/>
    <col min="3594" max="3596" width="12.7109375" style="20" customWidth="1"/>
    <col min="3597" max="3597" width="7.7109375" style="20" bestFit="1" customWidth="1"/>
    <col min="3598" max="3598" width="14.85546875" style="20" customWidth="1"/>
    <col min="3599" max="3840" width="9.140625" style="20"/>
    <col min="3841" max="3841" width="5.42578125" style="20" bestFit="1" customWidth="1"/>
    <col min="3842" max="3842" width="15.5703125" style="20" bestFit="1" customWidth="1"/>
    <col min="3843" max="3843" width="10" style="20" bestFit="1" customWidth="1"/>
    <col min="3844" max="3844" width="18.85546875" style="20" bestFit="1" customWidth="1"/>
    <col min="3845" max="3845" width="10.140625" style="20" bestFit="1" customWidth="1"/>
    <col min="3846" max="3846" width="12.85546875" style="20" bestFit="1" customWidth="1"/>
    <col min="3847" max="3847" width="10" style="20" bestFit="1" customWidth="1"/>
    <col min="3848" max="3848" width="8.140625" style="20" bestFit="1" customWidth="1"/>
    <col min="3849" max="3849" width="8.28515625" style="20" bestFit="1" customWidth="1"/>
    <col min="3850" max="3852" width="12.7109375" style="20" customWidth="1"/>
    <col min="3853" max="3853" width="7.7109375" style="20" bestFit="1" customWidth="1"/>
    <col min="3854" max="3854" width="14.85546875" style="20" customWidth="1"/>
    <col min="3855" max="4096" width="9.140625" style="20"/>
    <col min="4097" max="4097" width="5.42578125" style="20" bestFit="1" customWidth="1"/>
    <col min="4098" max="4098" width="15.5703125" style="20" bestFit="1" customWidth="1"/>
    <col min="4099" max="4099" width="10" style="20" bestFit="1" customWidth="1"/>
    <col min="4100" max="4100" width="18.85546875" style="20" bestFit="1" customWidth="1"/>
    <col min="4101" max="4101" width="10.140625" style="20" bestFit="1" customWidth="1"/>
    <col min="4102" max="4102" width="12.85546875" style="20" bestFit="1" customWidth="1"/>
    <col min="4103" max="4103" width="10" style="20" bestFit="1" customWidth="1"/>
    <col min="4104" max="4104" width="8.140625" style="20" bestFit="1" customWidth="1"/>
    <col min="4105" max="4105" width="8.28515625" style="20" bestFit="1" customWidth="1"/>
    <col min="4106" max="4108" width="12.7109375" style="20" customWidth="1"/>
    <col min="4109" max="4109" width="7.7109375" style="20" bestFit="1" customWidth="1"/>
    <col min="4110" max="4110" width="14.85546875" style="20" customWidth="1"/>
    <col min="4111" max="4352" width="9.140625" style="20"/>
    <col min="4353" max="4353" width="5.42578125" style="20" bestFit="1" customWidth="1"/>
    <col min="4354" max="4354" width="15.5703125" style="20" bestFit="1" customWidth="1"/>
    <col min="4355" max="4355" width="10" style="20" bestFit="1" customWidth="1"/>
    <col min="4356" max="4356" width="18.85546875" style="20" bestFit="1" customWidth="1"/>
    <col min="4357" max="4357" width="10.140625" style="20" bestFit="1" customWidth="1"/>
    <col min="4358" max="4358" width="12.85546875" style="20" bestFit="1" customWidth="1"/>
    <col min="4359" max="4359" width="10" style="20" bestFit="1" customWidth="1"/>
    <col min="4360" max="4360" width="8.140625" style="20" bestFit="1" customWidth="1"/>
    <col min="4361" max="4361" width="8.28515625" style="20" bestFit="1" customWidth="1"/>
    <col min="4362" max="4364" width="12.7109375" style="20" customWidth="1"/>
    <col min="4365" max="4365" width="7.7109375" style="20" bestFit="1" customWidth="1"/>
    <col min="4366" max="4366" width="14.85546875" style="20" customWidth="1"/>
    <col min="4367" max="4608" width="9.140625" style="20"/>
    <col min="4609" max="4609" width="5.42578125" style="20" bestFit="1" customWidth="1"/>
    <col min="4610" max="4610" width="15.5703125" style="20" bestFit="1" customWidth="1"/>
    <col min="4611" max="4611" width="10" style="20" bestFit="1" customWidth="1"/>
    <col min="4612" max="4612" width="18.85546875" style="20" bestFit="1" customWidth="1"/>
    <col min="4613" max="4613" width="10.140625" style="20" bestFit="1" customWidth="1"/>
    <col min="4614" max="4614" width="12.85546875" style="20" bestFit="1" customWidth="1"/>
    <col min="4615" max="4615" width="10" style="20" bestFit="1" customWidth="1"/>
    <col min="4616" max="4616" width="8.140625" style="20" bestFit="1" customWidth="1"/>
    <col min="4617" max="4617" width="8.28515625" style="20" bestFit="1" customWidth="1"/>
    <col min="4618" max="4620" width="12.7109375" style="20" customWidth="1"/>
    <col min="4621" max="4621" width="7.7109375" style="20" bestFit="1" customWidth="1"/>
    <col min="4622" max="4622" width="14.85546875" style="20" customWidth="1"/>
    <col min="4623" max="4864" width="9.140625" style="20"/>
    <col min="4865" max="4865" width="5.42578125" style="20" bestFit="1" customWidth="1"/>
    <col min="4866" max="4866" width="15.5703125" style="20" bestFit="1" customWidth="1"/>
    <col min="4867" max="4867" width="10" style="20" bestFit="1" customWidth="1"/>
    <col min="4868" max="4868" width="18.85546875" style="20" bestFit="1" customWidth="1"/>
    <col min="4869" max="4869" width="10.140625" style="20" bestFit="1" customWidth="1"/>
    <col min="4870" max="4870" width="12.85546875" style="20" bestFit="1" customWidth="1"/>
    <col min="4871" max="4871" width="10" style="20" bestFit="1" customWidth="1"/>
    <col min="4872" max="4872" width="8.140625" style="20" bestFit="1" customWidth="1"/>
    <col min="4873" max="4873" width="8.28515625" style="20" bestFit="1" customWidth="1"/>
    <col min="4874" max="4876" width="12.7109375" style="20" customWidth="1"/>
    <col min="4877" max="4877" width="7.7109375" style="20" bestFit="1" customWidth="1"/>
    <col min="4878" max="4878" width="14.85546875" style="20" customWidth="1"/>
    <col min="4879" max="5120" width="9.140625" style="20"/>
    <col min="5121" max="5121" width="5.42578125" style="20" bestFit="1" customWidth="1"/>
    <col min="5122" max="5122" width="15.5703125" style="20" bestFit="1" customWidth="1"/>
    <col min="5123" max="5123" width="10" style="20" bestFit="1" customWidth="1"/>
    <col min="5124" max="5124" width="18.85546875" style="20" bestFit="1" customWidth="1"/>
    <col min="5125" max="5125" width="10.140625" style="20" bestFit="1" customWidth="1"/>
    <col min="5126" max="5126" width="12.85546875" style="20" bestFit="1" customWidth="1"/>
    <col min="5127" max="5127" width="10" style="20" bestFit="1" customWidth="1"/>
    <col min="5128" max="5128" width="8.140625" style="20" bestFit="1" customWidth="1"/>
    <col min="5129" max="5129" width="8.28515625" style="20" bestFit="1" customWidth="1"/>
    <col min="5130" max="5132" width="12.7109375" style="20" customWidth="1"/>
    <col min="5133" max="5133" width="7.7109375" style="20" bestFit="1" customWidth="1"/>
    <col min="5134" max="5134" width="14.85546875" style="20" customWidth="1"/>
    <col min="5135" max="5376" width="9.140625" style="20"/>
    <col min="5377" max="5377" width="5.42578125" style="20" bestFit="1" customWidth="1"/>
    <col min="5378" max="5378" width="15.5703125" style="20" bestFit="1" customWidth="1"/>
    <col min="5379" max="5379" width="10" style="20" bestFit="1" customWidth="1"/>
    <col min="5380" max="5380" width="18.85546875" style="20" bestFit="1" customWidth="1"/>
    <col min="5381" max="5381" width="10.140625" style="20" bestFit="1" customWidth="1"/>
    <col min="5382" max="5382" width="12.85546875" style="20" bestFit="1" customWidth="1"/>
    <col min="5383" max="5383" width="10" style="20" bestFit="1" customWidth="1"/>
    <col min="5384" max="5384" width="8.140625" style="20" bestFit="1" customWidth="1"/>
    <col min="5385" max="5385" width="8.28515625" style="20" bestFit="1" customWidth="1"/>
    <col min="5386" max="5388" width="12.7109375" style="20" customWidth="1"/>
    <col min="5389" max="5389" width="7.7109375" style="20" bestFit="1" customWidth="1"/>
    <col min="5390" max="5390" width="14.85546875" style="20" customWidth="1"/>
    <col min="5391" max="5632" width="9.140625" style="20"/>
    <col min="5633" max="5633" width="5.42578125" style="20" bestFit="1" customWidth="1"/>
    <col min="5634" max="5634" width="15.5703125" style="20" bestFit="1" customWidth="1"/>
    <col min="5635" max="5635" width="10" style="20" bestFit="1" customWidth="1"/>
    <col min="5636" max="5636" width="18.85546875" style="20" bestFit="1" customWidth="1"/>
    <col min="5637" max="5637" width="10.140625" style="20" bestFit="1" customWidth="1"/>
    <col min="5638" max="5638" width="12.85546875" style="20" bestFit="1" customWidth="1"/>
    <col min="5639" max="5639" width="10" style="20" bestFit="1" customWidth="1"/>
    <col min="5640" max="5640" width="8.140625" style="20" bestFit="1" customWidth="1"/>
    <col min="5641" max="5641" width="8.28515625" style="20" bestFit="1" customWidth="1"/>
    <col min="5642" max="5644" width="12.7109375" style="20" customWidth="1"/>
    <col min="5645" max="5645" width="7.7109375" style="20" bestFit="1" customWidth="1"/>
    <col min="5646" max="5646" width="14.85546875" style="20" customWidth="1"/>
    <col min="5647" max="5888" width="9.140625" style="20"/>
    <col min="5889" max="5889" width="5.42578125" style="20" bestFit="1" customWidth="1"/>
    <col min="5890" max="5890" width="15.5703125" style="20" bestFit="1" customWidth="1"/>
    <col min="5891" max="5891" width="10" style="20" bestFit="1" customWidth="1"/>
    <col min="5892" max="5892" width="18.85546875" style="20" bestFit="1" customWidth="1"/>
    <col min="5893" max="5893" width="10.140625" style="20" bestFit="1" customWidth="1"/>
    <col min="5894" max="5894" width="12.85546875" style="20" bestFit="1" customWidth="1"/>
    <col min="5895" max="5895" width="10" style="20" bestFit="1" customWidth="1"/>
    <col min="5896" max="5896" width="8.140625" style="20" bestFit="1" customWidth="1"/>
    <col min="5897" max="5897" width="8.28515625" style="20" bestFit="1" customWidth="1"/>
    <col min="5898" max="5900" width="12.7109375" style="20" customWidth="1"/>
    <col min="5901" max="5901" width="7.7109375" style="20" bestFit="1" customWidth="1"/>
    <col min="5902" max="5902" width="14.85546875" style="20" customWidth="1"/>
    <col min="5903" max="6144" width="9.140625" style="20"/>
    <col min="6145" max="6145" width="5.42578125" style="20" bestFit="1" customWidth="1"/>
    <col min="6146" max="6146" width="15.5703125" style="20" bestFit="1" customWidth="1"/>
    <col min="6147" max="6147" width="10" style="20" bestFit="1" customWidth="1"/>
    <col min="6148" max="6148" width="18.85546875" style="20" bestFit="1" customWidth="1"/>
    <col min="6149" max="6149" width="10.140625" style="20" bestFit="1" customWidth="1"/>
    <col min="6150" max="6150" width="12.85546875" style="20" bestFit="1" customWidth="1"/>
    <col min="6151" max="6151" width="10" style="20" bestFit="1" customWidth="1"/>
    <col min="6152" max="6152" width="8.140625" style="20" bestFit="1" customWidth="1"/>
    <col min="6153" max="6153" width="8.28515625" style="20" bestFit="1" customWidth="1"/>
    <col min="6154" max="6156" width="12.7109375" style="20" customWidth="1"/>
    <col min="6157" max="6157" width="7.7109375" style="20" bestFit="1" customWidth="1"/>
    <col min="6158" max="6158" width="14.85546875" style="20" customWidth="1"/>
    <col min="6159" max="6400" width="9.140625" style="20"/>
    <col min="6401" max="6401" width="5.42578125" style="20" bestFit="1" customWidth="1"/>
    <col min="6402" max="6402" width="15.5703125" style="20" bestFit="1" customWidth="1"/>
    <col min="6403" max="6403" width="10" style="20" bestFit="1" customWidth="1"/>
    <col min="6404" max="6404" width="18.85546875" style="20" bestFit="1" customWidth="1"/>
    <col min="6405" max="6405" width="10.140625" style="20" bestFit="1" customWidth="1"/>
    <col min="6406" max="6406" width="12.85546875" style="20" bestFit="1" customWidth="1"/>
    <col min="6407" max="6407" width="10" style="20" bestFit="1" customWidth="1"/>
    <col min="6408" max="6408" width="8.140625" style="20" bestFit="1" customWidth="1"/>
    <col min="6409" max="6409" width="8.28515625" style="20" bestFit="1" customWidth="1"/>
    <col min="6410" max="6412" width="12.7109375" style="20" customWidth="1"/>
    <col min="6413" max="6413" width="7.7109375" style="20" bestFit="1" customWidth="1"/>
    <col min="6414" max="6414" width="14.85546875" style="20" customWidth="1"/>
    <col min="6415" max="6656" width="9.140625" style="20"/>
    <col min="6657" max="6657" width="5.42578125" style="20" bestFit="1" customWidth="1"/>
    <col min="6658" max="6658" width="15.5703125" style="20" bestFit="1" customWidth="1"/>
    <col min="6659" max="6659" width="10" style="20" bestFit="1" customWidth="1"/>
    <col min="6660" max="6660" width="18.85546875" style="20" bestFit="1" customWidth="1"/>
    <col min="6661" max="6661" width="10.140625" style="20" bestFit="1" customWidth="1"/>
    <col min="6662" max="6662" width="12.85546875" style="20" bestFit="1" customWidth="1"/>
    <col min="6663" max="6663" width="10" style="20" bestFit="1" customWidth="1"/>
    <col min="6664" max="6664" width="8.140625" style="20" bestFit="1" customWidth="1"/>
    <col min="6665" max="6665" width="8.28515625" style="20" bestFit="1" customWidth="1"/>
    <col min="6666" max="6668" width="12.7109375" style="20" customWidth="1"/>
    <col min="6669" max="6669" width="7.7109375" style="20" bestFit="1" customWidth="1"/>
    <col min="6670" max="6670" width="14.85546875" style="20" customWidth="1"/>
    <col min="6671" max="6912" width="9.140625" style="20"/>
    <col min="6913" max="6913" width="5.42578125" style="20" bestFit="1" customWidth="1"/>
    <col min="6914" max="6914" width="15.5703125" style="20" bestFit="1" customWidth="1"/>
    <col min="6915" max="6915" width="10" style="20" bestFit="1" customWidth="1"/>
    <col min="6916" max="6916" width="18.85546875" style="20" bestFit="1" customWidth="1"/>
    <col min="6917" max="6917" width="10.140625" style="20" bestFit="1" customWidth="1"/>
    <col min="6918" max="6918" width="12.85546875" style="20" bestFit="1" customWidth="1"/>
    <col min="6919" max="6919" width="10" style="20" bestFit="1" customWidth="1"/>
    <col min="6920" max="6920" width="8.140625" style="20" bestFit="1" customWidth="1"/>
    <col min="6921" max="6921" width="8.28515625" style="20" bestFit="1" customWidth="1"/>
    <col min="6922" max="6924" width="12.7109375" style="20" customWidth="1"/>
    <col min="6925" max="6925" width="7.7109375" style="20" bestFit="1" customWidth="1"/>
    <col min="6926" max="6926" width="14.85546875" style="20" customWidth="1"/>
    <col min="6927" max="7168" width="9.140625" style="20"/>
    <col min="7169" max="7169" width="5.42578125" style="20" bestFit="1" customWidth="1"/>
    <col min="7170" max="7170" width="15.5703125" style="20" bestFit="1" customWidth="1"/>
    <col min="7171" max="7171" width="10" style="20" bestFit="1" customWidth="1"/>
    <col min="7172" max="7172" width="18.85546875" style="20" bestFit="1" customWidth="1"/>
    <col min="7173" max="7173" width="10.140625" style="20" bestFit="1" customWidth="1"/>
    <col min="7174" max="7174" width="12.85546875" style="20" bestFit="1" customWidth="1"/>
    <col min="7175" max="7175" width="10" style="20" bestFit="1" customWidth="1"/>
    <col min="7176" max="7176" width="8.140625" style="20" bestFit="1" customWidth="1"/>
    <col min="7177" max="7177" width="8.28515625" style="20" bestFit="1" customWidth="1"/>
    <col min="7178" max="7180" width="12.7109375" style="20" customWidth="1"/>
    <col min="7181" max="7181" width="7.7109375" style="20" bestFit="1" customWidth="1"/>
    <col min="7182" max="7182" width="14.85546875" style="20" customWidth="1"/>
    <col min="7183" max="7424" width="9.140625" style="20"/>
    <col min="7425" max="7425" width="5.42578125" style="20" bestFit="1" customWidth="1"/>
    <col min="7426" max="7426" width="15.5703125" style="20" bestFit="1" customWidth="1"/>
    <col min="7427" max="7427" width="10" style="20" bestFit="1" customWidth="1"/>
    <col min="7428" max="7428" width="18.85546875" style="20" bestFit="1" customWidth="1"/>
    <col min="7429" max="7429" width="10.140625" style="20" bestFit="1" customWidth="1"/>
    <col min="7430" max="7430" width="12.85546875" style="20" bestFit="1" customWidth="1"/>
    <col min="7431" max="7431" width="10" style="20" bestFit="1" customWidth="1"/>
    <col min="7432" max="7432" width="8.140625" style="20" bestFit="1" customWidth="1"/>
    <col min="7433" max="7433" width="8.28515625" style="20" bestFit="1" customWidth="1"/>
    <col min="7434" max="7436" width="12.7109375" style="20" customWidth="1"/>
    <col min="7437" max="7437" width="7.7109375" style="20" bestFit="1" customWidth="1"/>
    <col min="7438" max="7438" width="14.85546875" style="20" customWidth="1"/>
    <col min="7439" max="7680" width="9.140625" style="20"/>
    <col min="7681" max="7681" width="5.42578125" style="20" bestFit="1" customWidth="1"/>
    <col min="7682" max="7682" width="15.5703125" style="20" bestFit="1" customWidth="1"/>
    <col min="7683" max="7683" width="10" style="20" bestFit="1" customWidth="1"/>
    <col min="7684" max="7684" width="18.85546875" style="20" bestFit="1" customWidth="1"/>
    <col min="7685" max="7685" width="10.140625" style="20" bestFit="1" customWidth="1"/>
    <col min="7686" max="7686" width="12.85546875" style="20" bestFit="1" customWidth="1"/>
    <col min="7687" max="7687" width="10" style="20" bestFit="1" customWidth="1"/>
    <col min="7688" max="7688" width="8.140625" style="20" bestFit="1" customWidth="1"/>
    <col min="7689" max="7689" width="8.28515625" style="20" bestFit="1" customWidth="1"/>
    <col min="7690" max="7692" width="12.7109375" style="20" customWidth="1"/>
    <col min="7693" max="7693" width="7.7109375" style="20" bestFit="1" customWidth="1"/>
    <col min="7694" max="7694" width="14.85546875" style="20" customWidth="1"/>
    <col min="7695" max="7936" width="9.140625" style="20"/>
    <col min="7937" max="7937" width="5.42578125" style="20" bestFit="1" customWidth="1"/>
    <col min="7938" max="7938" width="15.5703125" style="20" bestFit="1" customWidth="1"/>
    <col min="7939" max="7939" width="10" style="20" bestFit="1" customWidth="1"/>
    <col min="7940" max="7940" width="18.85546875" style="20" bestFit="1" customWidth="1"/>
    <col min="7941" max="7941" width="10.140625" style="20" bestFit="1" customWidth="1"/>
    <col min="7942" max="7942" width="12.85546875" style="20" bestFit="1" customWidth="1"/>
    <col min="7943" max="7943" width="10" style="20" bestFit="1" customWidth="1"/>
    <col min="7944" max="7944" width="8.140625" style="20" bestFit="1" customWidth="1"/>
    <col min="7945" max="7945" width="8.28515625" style="20" bestFit="1" customWidth="1"/>
    <col min="7946" max="7948" width="12.7109375" style="20" customWidth="1"/>
    <col min="7949" max="7949" width="7.7109375" style="20" bestFit="1" customWidth="1"/>
    <col min="7950" max="7950" width="14.85546875" style="20" customWidth="1"/>
    <col min="7951" max="8192" width="9.140625" style="20"/>
    <col min="8193" max="8193" width="5.42578125" style="20" bestFit="1" customWidth="1"/>
    <col min="8194" max="8194" width="15.5703125" style="20" bestFit="1" customWidth="1"/>
    <col min="8195" max="8195" width="10" style="20" bestFit="1" customWidth="1"/>
    <col min="8196" max="8196" width="18.85546875" style="20" bestFit="1" customWidth="1"/>
    <col min="8197" max="8197" width="10.140625" style="20" bestFit="1" customWidth="1"/>
    <col min="8198" max="8198" width="12.85546875" style="20" bestFit="1" customWidth="1"/>
    <col min="8199" max="8199" width="10" style="20" bestFit="1" customWidth="1"/>
    <col min="8200" max="8200" width="8.140625" style="20" bestFit="1" customWidth="1"/>
    <col min="8201" max="8201" width="8.28515625" style="20" bestFit="1" customWidth="1"/>
    <col min="8202" max="8204" width="12.7109375" style="20" customWidth="1"/>
    <col min="8205" max="8205" width="7.7109375" style="20" bestFit="1" customWidth="1"/>
    <col min="8206" max="8206" width="14.85546875" style="20" customWidth="1"/>
    <col min="8207" max="8448" width="9.140625" style="20"/>
    <col min="8449" max="8449" width="5.42578125" style="20" bestFit="1" customWidth="1"/>
    <col min="8450" max="8450" width="15.5703125" style="20" bestFit="1" customWidth="1"/>
    <col min="8451" max="8451" width="10" style="20" bestFit="1" customWidth="1"/>
    <col min="8452" max="8452" width="18.85546875" style="20" bestFit="1" customWidth="1"/>
    <col min="8453" max="8453" width="10.140625" style="20" bestFit="1" customWidth="1"/>
    <col min="8454" max="8454" width="12.85546875" style="20" bestFit="1" customWidth="1"/>
    <col min="8455" max="8455" width="10" style="20" bestFit="1" customWidth="1"/>
    <col min="8456" max="8456" width="8.140625" style="20" bestFit="1" customWidth="1"/>
    <col min="8457" max="8457" width="8.28515625" style="20" bestFit="1" customWidth="1"/>
    <col min="8458" max="8460" width="12.7109375" style="20" customWidth="1"/>
    <col min="8461" max="8461" width="7.7109375" style="20" bestFit="1" customWidth="1"/>
    <col min="8462" max="8462" width="14.85546875" style="20" customWidth="1"/>
    <col min="8463" max="8704" width="9.140625" style="20"/>
    <col min="8705" max="8705" width="5.42578125" style="20" bestFit="1" customWidth="1"/>
    <col min="8706" max="8706" width="15.5703125" style="20" bestFit="1" customWidth="1"/>
    <col min="8707" max="8707" width="10" style="20" bestFit="1" customWidth="1"/>
    <col min="8708" max="8708" width="18.85546875" style="20" bestFit="1" customWidth="1"/>
    <col min="8709" max="8709" width="10.140625" style="20" bestFit="1" customWidth="1"/>
    <col min="8710" max="8710" width="12.85546875" style="20" bestFit="1" customWidth="1"/>
    <col min="8711" max="8711" width="10" style="20" bestFit="1" customWidth="1"/>
    <col min="8712" max="8712" width="8.140625" style="20" bestFit="1" customWidth="1"/>
    <col min="8713" max="8713" width="8.28515625" style="20" bestFit="1" customWidth="1"/>
    <col min="8714" max="8716" width="12.7109375" style="20" customWidth="1"/>
    <col min="8717" max="8717" width="7.7109375" style="20" bestFit="1" customWidth="1"/>
    <col min="8718" max="8718" width="14.85546875" style="20" customWidth="1"/>
    <col min="8719" max="8960" width="9.140625" style="20"/>
    <col min="8961" max="8961" width="5.42578125" style="20" bestFit="1" customWidth="1"/>
    <col min="8962" max="8962" width="15.5703125" style="20" bestFit="1" customWidth="1"/>
    <col min="8963" max="8963" width="10" style="20" bestFit="1" customWidth="1"/>
    <col min="8964" max="8964" width="18.85546875" style="20" bestFit="1" customWidth="1"/>
    <col min="8965" max="8965" width="10.140625" style="20" bestFit="1" customWidth="1"/>
    <col min="8966" max="8966" width="12.85546875" style="20" bestFit="1" customWidth="1"/>
    <col min="8967" max="8967" width="10" style="20" bestFit="1" customWidth="1"/>
    <col min="8968" max="8968" width="8.140625" style="20" bestFit="1" customWidth="1"/>
    <col min="8969" max="8969" width="8.28515625" style="20" bestFit="1" customWidth="1"/>
    <col min="8970" max="8972" width="12.7109375" style="20" customWidth="1"/>
    <col min="8973" max="8973" width="7.7109375" style="20" bestFit="1" customWidth="1"/>
    <col min="8974" max="8974" width="14.85546875" style="20" customWidth="1"/>
    <col min="8975" max="9216" width="9.140625" style="20"/>
    <col min="9217" max="9217" width="5.42578125" style="20" bestFit="1" customWidth="1"/>
    <col min="9218" max="9218" width="15.5703125" style="20" bestFit="1" customWidth="1"/>
    <col min="9219" max="9219" width="10" style="20" bestFit="1" customWidth="1"/>
    <col min="9220" max="9220" width="18.85546875" style="20" bestFit="1" customWidth="1"/>
    <col min="9221" max="9221" width="10.140625" style="20" bestFit="1" customWidth="1"/>
    <col min="9222" max="9222" width="12.85546875" style="20" bestFit="1" customWidth="1"/>
    <col min="9223" max="9223" width="10" style="20" bestFit="1" customWidth="1"/>
    <col min="9224" max="9224" width="8.140625" style="20" bestFit="1" customWidth="1"/>
    <col min="9225" max="9225" width="8.28515625" style="20" bestFit="1" customWidth="1"/>
    <col min="9226" max="9228" width="12.7109375" style="20" customWidth="1"/>
    <col min="9229" max="9229" width="7.7109375" style="20" bestFit="1" customWidth="1"/>
    <col min="9230" max="9230" width="14.85546875" style="20" customWidth="1"/>
    <col min="9231" max="9472" width="9.140625" style="20"/>
    <col min="9473" max="9473" width="5.42578125" style="20" bestFit="1" customWidth="1"/>
    <col min="9474" max="9474" width="15.5703125" style="20" bestFit="1" customWidth="1"/>
    <col min="9475" max="9475" width="10" style="20" bestFit="1" customWidth="1"/>
    <col min="9476" max="9476" width="18.85546875" style="20" bestFit="1" customWidth="1"/>
    <col min="9477" max="9477" width="10.140625" style="20" bestFit="1" customWidth="1"/>
    <col min="9478" max="9478" width="12.85546875" style="20" bestFit="1" customWidth="1"/>
    <col min="9479" max="9479" width="10" style="20" bestFit="1" customWidth="1"/>
    <col min="9480" max="9480" width="8.140625" style="20" bestFit="1" customWidth="1"/>
    <col min="9481" max="9481" width="8.28515625" style="20" bestFit="1" customWidth="1"/>
    <col min="9482" max="9484" width="12.7109375" style="20" customWidth="1"/>
    <col min="9485" max="9485" width="7.7109375" style="20" bestFit="1" customWidth="1"/>
    <col min="9486" max="9486" width="14.85546875" style="20" customWidth="1"/>
    <col min="9487" max="9728" width="9.140625" style="20"/>
    <col min="9729" max="9729" width="5.42578125" style="20" bestFit="1" customWidth="1"/>
    <col min="9730" max="9730" width="15.5703125" style="20" bestFit="1" customWidth="1"/>
    <col min="9731" max="9731" width="10" style="20" bestFit="1" customWidth="1"/>
    <col min="9732" max="9732" width="18.85546875" style="20" bestFit="1" customWidth="1"/>
    <col min="9733" max="9733" width="10.140625" style="20" bestFit="1" customWidth="1"/>
    <col min="9734" max="9734" width="12.85546875" style="20" bestFit="1" customWidth="1"/>
    <col min="9735" max="9735" width="10" style="20" bestFit="1" customWidth="1"/>
    <col min="9736" max="9736" width="8.140625" style="20" bestFit="1" customWidth="1"/>
    <col min="9737" max="9737" width="8.28515625" style="20" bestFit="1" customWidth="1"/>
    <col min="9738" max="9740" width="12.7109375" style="20" customWidth="1"/>
    <col min="9741" max="9741" width="7.7109375" style="20" bestFit="1" customWidth="1"/>
    <col min="9742" max="9742" width="14.85546875" style="20" customWidth="1"/>
    <col min="9743" max="9984" width="9.140625" style="20"/>
    <col min="9985" max="9985" width="5.42578125" style="20" bestFit="1" customWidth="1"/>
    <col min="9986" max="9986" width="15.5703125" style="20" bestFit="1" customWidth="1"/>
    <col min="9987" max="9987" width="10" style="20" bestFit="1" customWidth="1"/>
    <col min="9988" max="9988" width="18.85546875" style="20" bestFit="1" customWidth="1"/>
    <col min="9989" max="9989" width="10.140625" style="20" bestFit="1" customWidth="1"/>
    <col min="9990" max="9990" width="12.85546875" style="20" bestFit="1" customWidth="1"/>
    <col min="9991" max="9991" width="10" style="20" bestFit="1" customWidth="1"/>
    <col min="9992" max="9992" width="8.140625" style="20" bestFit="1" customWidth="1"/>
    <col min="9993" max="9993" width="8.28515625" style="20" bestFit="1" customWidth="1"/>
    <col min="9994" max="9996" width="12.7109375" style="20" customWidth="1"/>
    <col min="9997" max="9997" width="7.7109375" style="20" bestFit="1" customWidth="1"/>
    <col min="9998" max="9998" width="14.85546875" style="20" customWidth="1"/>
    <col min="9999" max="10240" width="9.140625" style="20"/>
    <col min="10241" max="10241" width="5.42578125" style="20" bestFit="1" customWidth="1"/>
    <col min="10242" max="10242" width="15.5703125" style="20" bestFit="1" customWidth="1"/>
    <col min="10243" max="10243" width="10" style="20" bestFit="1" customWidth="1"/>
    <col min="10244" max="10244" width="18.85546875" style="20" bestFit="1" customWidth="1"/>
    <col min="10245" max="10245" width="10.140625" style="20" bestFit="1" customWidth="1"/>
    <col min="10246" max="10246" width="12.85546875" style="20" bestFit="1" customWidth="1"/>
    <col min="10247" max="10247" width="10" style="20" bestFit="1" customWidth="1"/>
    <col min="10248" max="10248" width="8.140625" style="20" bestFit="1" customWidth="1"/>
    <col min="10249" max="10249" width="8.28515625" style="20" bestFit="1" customWidth="1"/>
    <col min="10250" max="10252" width="12.7109375" style="20" customWidth="1"/>
    <col min="10253" max="10253" width="7.7109375" style="20" bestFit="1" customWidth="1"/>
    <col min="10254" max="10254" width="14.85546875" style="20" customWidth="1"/>
    <col min="10255" max="10496" width="9.140625" style="20"/>
    <col min="10497" max="10497" width="5.42578125" style="20" bestFit="1" customWidth="1"/>
    <col min="10498" max="10498" width="15.5703125" style="20" bestFit="1" customWidth="1"/>
    <col min="10499" max="10499" width="10" style="20" bestFit="1" customWidth="1"/>
    <col min="10500" max="10500" width="18.85546875" style="20" bestFit="1" customWidth="1"/>
    <col min="10501" max="10501" width="10.140625" style="20" bestFit="1" customWidth="1"/>
    <col min="10502" max="10502" width="12.85546875" style="20" bestFit="1" customWidth="1"/>
    <col min="10503" max="10503" width="10" style="20" bestFit="1" customWidth="1"/>
    <col min="10504" max="10504" width="8.140625" style="20" bestFit="1" customWidth="1"/>
    <col min="10505" max="10505" width="8.28515625" style="20" bestFit="1" customWidth="1"/>
    <col min="10506" max="10508" width="12.7109375" style="20" customWidth="1"/>
    <col min="10509" max="10509" width="7.7109375" style="20" bestFit="1" customWidth="1"/>
    <col min="10510" max="10510" width="14.85546875" style="20" customWidth="1"/>
    <col min="10511" max="10752" width="9.140625" style="20"/>
    <col min="10753" max="10753" width="5.42578125" style="20" bestFit="1" customWidth="1"/>
    <col min="10754" max="10754" width="15.5703125" style="20" bestFit="1" customWidth="1"/>
    <col min="10755" max="10755" width="10" style="20" bestFit="1" customWidth="1"/>
    <col min="10756" max="10756" width="18.85546875" style="20" bestFit="1" customWidth="1"/>
    <col min="10757" max="10757" width="10.140625" style="20" bestFit="1" customWidth="1"/>
    <col min="10758" max="10758" width="12.85546875" style="20" bestFit="1" customWidth="1"/>
    <col min="10759" max="10759" width="10" style="20" bestFit="1" customWidth="1"/>
    <col min="10760" max="10760" width="8.140625" style="20" bestFit="1" customWidth="1"/>
    <col min="10761" max="10761" width="8.28515625" style="20" bestFit="1" customWidth="1"/>
    <col min="10762" max="10764" width="12.7109375" style="20" customWidth="1"/>
    <col min="10765" max="10765" width="7.7109375" style="20" bestFit="1" customWidth="1"/>
    <col min="10766" max="10766" width="14.85546875" style="20" customWidth="1"/>
    <col min="10767" max="11008" width="9.140625" style="20"/>
    <col min="11009" max="11009" width="5.42578125" style="20" bestFit="1" customWidth="1"/>
    <col min="11010" max="11010" width="15.5703125" style="20" bestFit="1" customWidth="1"/>
    <col min="11011" max="11011" width="10" style="20" bestFit="1" customWidth="1"/>
    <col min="11012" max="11012" width="18.85546875" style="20" bestFit="1" customWidth="1"/>
    <col min="11013" max="11013" width="10.140625" style="20" bestFit="1" customWidth="1"/>
    <col min="11014" max="11014" width="12.85546875" style="20" bestFit="1" customWidth="1"/>
    <col min="11015" max="11015" width="10" style="20" bestFit="1" customWidth="1"/>
    <col min="11016" max="11016" width="8.140625" style="20" bestFit="1" customWidth="1"/>
    <col min="11017" max="11017" width="8.28515625" style="20" bestFit="1" customWidth="1"/>
    <col min="11018" max="11020" width="12.7109375" style="20" customWidth="1"/>
    <col min="11021" max="11021" width="7.7109375" style="20" bestFit="1" customWidth="1"/>
    <col min="11022" max="11022" width="14.85546875" style="20" customWidth="1"/>
    <col min="11023" max="11264" width="9.140625" style="20"/>
    <col min="11265" max="11265" width="5.42578125" style="20" bestFit="1" customWidth="1"/>
    <col min="11266" max="11266" width="15.5703125" style="20" bestFit="1" customWidth="1"/>
    <col min="11267" max="11267" width="10" style="20" bestFit="1" customWidth="1"/>
    <col min="11268" max="11268" width="18.85546875" style="20" bestFit="1" customWidth="1"/>
    <col min="11269" max="11269" width="10.140625" style="20" bestFit="1" customWidth="1"/>
    <col min="11270" max="11270" width="12.85546875" style="20" bestFit="1" customWidth="1"/>
    <col min="11271" max="11271" width="10" style="20" bestFit="1" customWidth="1"/>
    <col min="11272" max="11272" width="8.140625" style="20" bestFit="1" customWidth="1"/>
    <col min="11273" max="11273" width="8.28515625" style="20" bestFit="1" customWidth="1"/>
    <col min="11274" max="11276" width="12.7109375" style="20" customWidth="1"/>
    <col min="11277" max="11277" width="7.7109375" style="20" bestFit="1" customWidth="1"/>
    <col min="11278" max="11278" width="14.85546875" style="20" customWidth="1"/>
    <col min="11279" max="11520" width="9.140625" style="20"/>
    <col min="11521" max="11521" width="5.42578125" style="20" bestFit="1" customWidth="1"/>
    <col min="11522" max="11522" width="15.5703125" style="20" bestFit="1" customWidth="1"/>
    <col min="11523" max="11523" width="10" style="20" bestFit="1" customWidth="1"/>
    <col min="11524" max="11524" width="18.85546875" style="20" bestFit="1" customWidth="1"/>
    <col min="11525" max="11525" width="10.140625" style="20" bestFit="1" customWidth="1"/>
    <col min="11526" max="11526" width="12.85546875" style="20" bestFit="1" customWidth="1"/>
    <col min="11527" max="11527" width="10" style="20" bestFit="1" customWidth="1"/>
    <col min="11528" max="11528" width="8.140625" style="20" bestFit="1" customWidth="1"/>
    <col min="11529" max="11529" width="8.28515625" style="20" bestFit="1" customWidth="1"/>
    <col min="11530" max="11532" width="12.7109375" style="20" customWidth="1"/>
    <col min="11533" max="11533" width="7.7109375" style="20" bestFit="1" customWidth="1"/>
    <col min="11534" max="11534" width="14.85546875" style="20" customWidth="1"/>
    <col min="11535" max="11776" width="9.140625" style="20"/>
    <col min="11777" max="11777" width="5.42578125" style="20" bestFit="1" customWidth="1"/>
    <col min="11778" max="11778" width="15.5703125" style="20" bestFit="1" customWidth="1"/>
    <col min="11779" max="11779" width="10" style="20" bestFit="1" customWidth="1"/>
    <col min="11780" max="11780" width="18.85546875" style="20" bestFit="1" customWidth="1"/>
    <col min="11781" max="11781" width="10.140625" style="20" bestFit="1" customWidth="1"/>
    <col min="11782" max="11782" width="12.85546875" style="20" bestFit="1" customWidth="1"/>
    <col min="11783" max="11783" width="10" style="20" bestFit="1" customWidth="1"/>
    <col min="11784" max="11784" width="8.140625" style="20" bestFit="1" customWidth="1"/>
    <col min="11785" max="11785" width="8.28515625" style="20" bestFit="1" customWidth="1"/>
    <col min="11786" max="11788" width="12.7109375" style="20" customWidth="1"/>
    <col min="11789" max="11789" width="7.7109375" style="20" bestFit="1" customWidth="1"/>
    <col min="11790" max="11790" width="14.85546875" style="20" customWidth="1"/>
    <col min="11791" max="12032" width="9.140625" style="20"/>
    <col min="12033" max="12033" width="5.42578125" style="20" bestFit="1" customWidth="1"/>
    <col min="12034" max="12034" width="15.5703125" style="20" bestFit="1" customWidth="1"/>
    <col min="12035" max="12035" width="10" style="20" bestFit="1" customWidth="1"/>
    <col min="12036" max="12036" width="18.85546875" style="20" bestFit="1" customWidth="1"/>
    <col min="12037" max="12037" width="10.140625" style="20" bestFit="1" customWidth="1"/>
    <col min="12038" max="12038" width="12.85546875" style="20" bestFit="1" customWidth="1"/>
    <col min="12039" max="12039" width="10" style="20" bestFit="1" customWidth="1"/>
    <col min="12040" max="12040" width="8.140625" style="20" bestFit="1" customWidth="1"/>
    <col min="12041" max="12041" width="8.28515625" style="20" bestFit="1" customWidth="1"/>
    <col min="12042" max="12044" width="12.7109375" style="20" customWidth="1"/>
    <col min="12045" max="12045" width="7.7109375" style="20" bestFit="1" customWidth="1"/>
    <col min="12046" max="12046" width="14.85546875" style="20" customWidth="1"/>
    <col min="12047" max="12288" width="9.140625" style="20"/>
    <col min="12289" max="12289" width="5.42578125" style="20" bestFit="1" customWidth="1"/>
    <col min="12290" max="12290" width="15.5703125" style="20" bestFit="1" customWidth="1"/>
    <col min="12291" max="12291" width="10" style="20" bestFit="1" customWidth="1"/>
    <col min="12292" max="12292" width="18.85546875" style="20" bestFit="1" customWidth="1"/>
    <col min="12293" max="12293" width="10.140625" style="20" bestFit="1" customWidth="1"/>
    <col min="12294" max="12294" width="12.85546875" style="20" bestFit="1" customWidth="1"/>
    <col min="12295" max="12295" width="10" style="20" bestFit="1" customWidth="1"/>
    <col min="12296" max="12296" width="8.140625" style="20" bestFit="1" customWidth="1"/>
    <col min="12297" max="12297" width="8.28515625" style="20" bestFit="1" customWidth="1"/>
    <col min="12298" max="12300" width="12.7109375" style="20" customWidth="1"/>
    <col min="12301" max="12301" width="7.7109375" style="20" bestFit="1" customWidth="1"/>
    <col min="12302" max="12302" width="14.85546875" style="20" customWidth="1"/>
    <col min="12303" max="12544" width="9.140625" style="20"/>
    <col min="12545" max="12545" width="5.42578125" style="20" bestFit="1" customWidth="1"/>
    <col min="12546" max="12546" width="15.5703125" style="20" bestFit="1" customWidth="1"/>
    <col min="12547" max="12547" width="10" style="20" bestFit="1" customWidth="1"/>
    <col min="12548" max="12548" width="18.85546875" style="20" bestFit="1" customWidth="1"/>
    <col min="12549" max="12549" width="10.140625" style="20" bestFit="1" customWidth="1"/>
    <col min="12550" max="12550" width="12.85546875" style="20" bestFit="1" customWidth="1"/>
    <col min="12551" max="12551" width="10" style="20" bestFit="1" customWidth="1"/>
    <col min="12552" max="12552" width="8.140625" style="20" bestFit="1" customWidth="1"/>
    <col min="12553" max="12553" width="8.28515625" style="20" bestFit="1" customWidth="1"/>
    <col min="12554" max="12556" width="12.7109375" style="20" customWidth="1"/>
    <col min="12557" max="12557" width="7.7109375" style="20" bestFit="1" customWidth="1"/>
    <col min="12558" max="12558" width="14.85546875" style="20" customWidth="1"/>
    <col min="12559" max="12800" width="9.140625" style="20"/>
    <col min="12801" max="12801" width="5.42578125" style="20" bestFit="1" customWidth="1"/>
    <col min="12802" max="12802" width="15.5703125" style="20" bestFit="1" customWidth="1"/>
    <col min="12803" max="12803" width="10" style="20" bestFit="1" customWidth="1"/>
    <col min="12804" max="12804" width="18.85546875" style="20" bestFit="1" customWidth="1"/>
    <col min="12805" max="12805" width="10.140625" style="20" bestFit="1" customWidth="1"/>
    <col min="12806" max="12806" width="12.85546875" style="20" bestFit="1" customWidth="1"/>
    <col min="12807" max="12807" width="10" style="20" bestFit="1" customWidth="1"/>
    <col min="12808" max="12808" width="8.140625" style="20" bestFit="1" customWidth="1"/>
    <col min="12809" max="12809" width="8.28515625" style="20" bestFit="1" customWidth="1"/>
    <col min="12810" max="12812" width="12.7109375" style="20" customWidth="1"/>
    <col min="12813" max="12813" width="7.7109375" style="20" bestFit="1" customWidth="1"/>
    <col min="12814" max="12814" width="14.85546875" style="20" customWidth="1"/>
    <col min="12815" max="13056" width="9.140625" style="20"/>
    <col min="13057" max="13057" width="5.42578125" style="20" bestFit="1" customWidth="1"/>
    <col min="13058" max="13058" width="15.5703125" style="20" bestFit="1" customWidth="1"/>
    <col min="13059" max="13059" width="10" style="20" bestFit="1" customWidth="1"/>
    <col min="13060" max="13060" width="18.85546875" style="20" bestFit="1" customWidth="1"/>
    <col min="13061" max="13061" width="10.140625" style="20" bestFit="1" customWidth="1"/>
    <col min="13062" max="13062" width="12.85546875" style="20" bestFit="1" customWidth="1"/>
    <col min="13063" max="13063" width="10" style="20" bestFit="1" customWidth="1"/>
    <col min="13064" max="13064" width="8.140625" style="20" bestFit="1" customWidth="1"/>
    <col min="13065" max="13065" width="8.28515625" style="20" bestFit="1" customWidth="1"/>
    <col min="13066" max="13068" width="12.7109375" style="20" customWidth="1"/>
    <col min="13069" max="13069" width="7.7109375" style="20" bestFit="1" customWidth="1"/>
    <col min="13070" max="13070" width="14.85546875" style="20" customWidth="1"/>
    <col min="13071" max="13312" width="9.140625" style="20"/>
    <col min="13313" max="13313" width="5.42578125" style="20" bestFit="1" customWidth="1"/>
    <col min="13314" max="13314" width="15.5703125" style="20" bestFit="1" customWidth="1"/>
    <col min="13315" max="13315" width="10" style="20" bestFit="1" customWidth="1"/>
    <col min="13316" max="13316" width="18.85546875" style="20" bestFit="1" customWidth="1"/>
    <col min="13317" max="13317" width="10.140625" style="20" bestFit="1" customWidth="1"/>
    <col min="13318" max="13318" width="12.85546875" style="20" bestFit="1" customWidth="1"/>
    <col min="13319" max="13319" width="10" style="20" bestFit="1" customWidth="1"/>
    <col min="13320" max="13320" width="8.140625" style="20" bestFit="1" customWidth="1"/>
    <col min="13321" max="13321" width="8.28515625" style="20" bestFit="1" customWidth="1"/>
    <col min="13322" max="13324" width="12.7109375" style="20" customWidth="1"/>
    <col min="13325" max="13325" width="7.7109375" style="20" bestFit="1" customWidth="1"/>
    <col min="13326" max="13326" width="14.85546875" style="20" customWidth="1"/>
    <col min="13327" max="13568" width="9.140625" style="20"/>
    <col min="13569" max="13569" width="5.42578125" style="20" bestFit="1" customWidth="1"/>
    <col min="13570" max="13570" width="15.5703125" style="20" bestFit="1" customWidth="1"/>
    <col min="13571" max="13571" width="10" style="20" bestFit="1" customWidth="1"/>
    <col min="13572" max="13572" width="18.85546875" style="20" bestFit="1" customWidth="1"/>
    <col min="13573" max="13573" width="10.140625" style="20" bestFit="1" customWidth="1"/>
    <col min="13574" max="13574" width="12.85546875" style="20" bestFit="1" customWidth="1"/>
    <col min="13575" max="13575" width="10" style="20" bestFit="1" customWidth="1"/>
    <col min="13576" max="13576" width="8.140625" style="20" bestFit="1" customWidth="1"/>
    <col min="13577" max="13577" width="8.28515625" style="20" bestFit="1" customWidth="1"/>
    <col min="13578" max="13580" width="12.7109375" style="20" customWidth="1"/>
    <col min="13581" max="13581" width="7.7109375" style="20" bestFit="1" customWidth="1"/>
    <col min="13582" max="13582" width="14.85546875" style="20" customWidth="1"/>
    <col min="13583" max="13824" width="9.140625" style="20"/>
    <col min="13825" max="13825" width="5.42578125" style="20" bestFit="1" customWidth="1"/>
    <col min="13826" max="13826" width="15.5703125" style="20" bestFit="1" customWidth="1"/>
    <col min="13827" max="13827" width="10" style="20" bestFit="1" customWidth="1"/>
    <col min="13828" max="13828" width="18.85546875" style="20" bestFit="1" customWidth="1"/>
    <col min="13829" max="13829" width="10.140625" style="20" bestFit="1" customWidth="1"/>
    <col min="13830" max="13830" width="12.85546875" style="20" bestFit="1" customWidth="1"/>
    <col min="13831" max="13831" width="10" style="20" bestFit="1" customWidth="1"/>
    <col min="13832" max="13832" width="8.140625" style="20" bestFit="1" customWidth="1"/>
    <col min="13833" max="13833" width="8.28515625" style="20" bestFit="1" customWidth="1"/>
    <col min="13834" max="13836" width="12.7109375" style="20" customWidth="1"/>
    <col min="13837" max="13837" width="7.7109375" style="20" bestFit="1" customWidth="1"/>
    <col min="13838" max="13838" width="14.85546875" style="20" customWidth="1"/>
    <col min="13839" max="14080" width="9.140625" style="20"/>
    <col min="14081" max="14081" width="5.42578125" style="20" bestFit="1" customWidth="1"/>
    <col min="14082" max="14082" width="15.5703125" style="20" bestFit="1" customWidth="1"/>
    <col min="14083" max="14083" width="10" style="20" bestFit="1" customWidth="1"/>
    <col min="14084" max="14084" width="18.85546875" style="20" bestFit="1" customWidth="1"/>
    <col min="14085" max="14085" width="10.140625" style="20" bestFit="1" customWidth="1"/>
    <col min="14086" max="14086" width="12.85546875" style="20" bestFit="1" customWidth="1"/>
    <col min="14087" max="14087" width="10" style="20" bestFit="1" customWidth="1"/>
    <col min="14088" max="14088" width="8.140625" style="20" bestFit="1" customWidth="1"/>
    <col min="14089" max="14089" width="8.28515625" style="20" bestFit="1" customWidth="1"/>
    <col min="14090" max="14092" width="12.7109375" style="20" customWidth="1"/>
    <col min="14093" max="14093" width="7.7109375" style="20" bestFit="1" customWidth="1"/>
    <col min="14094" max="14094" width="14.85546875" style="20" customWidth="1"/>
    <col min="14095" max="14336" width="9.140625" style="20"/>
    <col min="14337" max="14337" width="5.42578125" style="20" bestFit="1" customWidth="1"/>
    <col min="14338" max="14338" width="15.5703125" style="20" bestFit="1" customWidth="1"/>
    <col min="14339" max="14339" width="10" style="20" bestFit="1" customWidth="1"/>
    <col min="14340" max="14340" width="18.85546875" style="20" bestFit="1" customWidth="1"/>
    <col min="14341" max="14341" width="10.140625" style="20" bestFit="1" customWidth="1"/>
    <col min="14342" max="14342" width="12.85546875" style="20" bestFit="1" customWidth="1"/>
    <col min="14343" max="14343" width="10" style="20" bestFit="1" customWidth="1"/>
    <col min="14344" max="14344" width="8.140625" style="20" bestFit="1" customWidth="1"/>
    <col min="14345" max="14345" width="8.28515625" style="20" bestFit="1" customWidth="1"/>
    <col min="14346" max="14348" width="12.7109375" style="20" customWidth="1"/>
    <col min="14349" max="14349" width="7.7109375" style="20" bestFit="1" customWidth="1"/>
    <col min="14350" max="14350" width="14.85546875" style="20" customWidth="1"/>
    <col min="14351" max="14592" width="9.140625" style="20"/>
    <col min="14593" max="14593" width="5.42578125" style="20" bestFit="1" customWidth="1"/>
    <col min="14594" max="14594" width="15.5703125" style="20" bestFit="1" customWidth="1"/>
    <col min="14595" max="14595" width="10" style="20" bestFit="1" customWidth="1"/>
    <col min="14596" max="14596" width="18.85546875" style="20" bestFit="1" customWidth="1"/>
    <col min="14597" max="14597" width="10.140625" style="20" bestFit="1" customWidth="1"/>
    <col min="14598" max="14598" width="12.85546875" style="20" bestFit="1" customWidth="1"/>
    <col min="14599" max="14599" width="10" style="20" bestFit="1" customWidth="1"/>
    <col min="14600" max="14600" width="8.140625" style="20" bestFit="1" customWidth="1"/>
    <col min="14601" max="14601" width="8.28515625" style="20" bestFit="1" customWidth="1"/>
    <col min="14602" max="14604" width="12.7109375" style="20" customWidth="1"/>
    <col min="14605" max="14605" width="7.7109375" style="20" bestFit="1" customWidth="1"/>
    <col min="14606" max="14606" width="14.85546875" style="20" customWidth="1"/>
    <col min="14607" max="14848" width="9.140625" style="20"/>
    <col min="14849" max="14849" width="5.42578125" style="20" bestFit="1" customWidth="1"/>
    <col min="14850" max="14850" width="15.5703125" style="20" bestFit="1" customWidth="1"/>
    <col min="14851" max="14851" width="10" style="20" bestFit="1" customWidth="1"/>
    <col min="14852" max="14852" width="18.85546875" style="20" bestFit="1" customWidth="1"/>
    <col min="14853" max="14853" width="10.140625" style="20" bestFit="1" customWidth="1"/>
    <col min="14854" max="14854" width="12.85546875" style="20" bestFit="1" customWidth="1"/>
    <col min="14855" max="14855" width="10" style="20" bestFit="1" customWidth="1"/>
    <col min="14856" max="14856" width="8.140625" style="20" bestFit="1" customWidth="1"/>
    <col min="14857" max="14857" width="8.28515625" style="20" bestFit="1" customWidth="1"/>
    <col min="14858" max="14860" width="12.7109375" style="20" customWidth="1"/>
    <col min="14861" max="14861" width="7.7109375" style="20" bestFit="1" customWidth="1"/>
    <col min="14862" max="14862" width="14.85546875" style="20" customWidth="1"/>
    <col min="14863" max="15104" width="9.140625" style="20"/>
    <col min="15105" max="15105" width="5.42578125" style="20" bestFit="1" customWidth="1"/>
    <col min="15106" max="15106" width="15.5703125" style="20" bestFit="1" customWidth="1"/>
    <col min="15107" max="15107" width="10" style="20" bestFit="1" customWidth="1"/>
    <col min="15108" max="15108" width="18.85546875" style="20" bestFit="1" customWidth="1"/>
    <col min="15109" max="15109" width="10.140625" style="20" bestFit="1" customWidth="1"/>
    <col min="15110" max="15110" width="12.85546875" style="20" bestFit="1" customWidth="1"/>
    <col min="15111" max="15111" width="10" style="20" bestFit="1" customWidth="1"/>
    <col min="15112" max="15112" width="8.140625" style="20" bestFit="1" customWidth="1"/>
    <col min="15113" max="15113" width="8.28515625" style="20" bestFit="1" customWidth="1"/>
    <col min="15114" max="15116" width="12.7109375" style="20" customWidth="1"/>
    <col min="15117" max="15117" width="7.7109375" style="20" bestFit="1" customWidth="1"/>
    <col min="15118" max="15118" width="14.85546875" style="20" customWidth="1"/>
    <col min="15119" max="15360" width="9.140625" style="20"/>
    <col min="15361" max="15361" width="5.42578125" style="20" bestFit="1" customWidth="1"/>
    <col min="15362" max="15362" width="15.5703125" style="20" bestFit="1" customWidth="1"/>
    <col min="15363" max="15363" width="10" style="20" bestFit="1" customWidth="1"/>
    <col min="15364" max="15364" width="18.85546875" style="20" bestFit="1" customWidth="1"/>
    <col min="15365" max="15365" width="10.140625" style="20" bestFit="1" customWidth="1"/>
    <col min="15366" max="15366" width="12.85546875" style="20" bestFit="1" customWidth="1"/>
    <col min="15367" max="15367" width="10" style="20" bestFit="1" customWidth="1"/>
    <col min="15368" max="15368" width="8.140625" style="20" bestFit="1" customWidth="1"/>
    <col min="15369" max="15369" width="8.28515625" style="20" bestFit="1" customWidth="1"/>
    <col min="15370" max="15372" width="12.7109375" style="20" customWidth="1"/>
    <col min="15373" max="15373" width="7.7109375" style="20" bestFit="1" customWidth="1"/>
    <col min="15374" max="15374" width="14.85546875" style="20" customWidth="1"/>
    <col min="15375" max="15616" width="9.140625" style="20"/>
    <col min="15617" max="15617" width="5.42578125" style="20" bestFit="1" customWidth="1"/>
    <col min="15618" max="15618" width="15.5703125" style="20" bestFit="1" customWidth="1"/>
    <col min="15619" max="15619" width="10" style="20" bestFit="1" customWidth="1"/>
    <col min="15620" max="15620" width="18.85546875" style="20" bestFit="1" customWidth="1"/>
    <col min="15621" max="15621" width="10.140625" style="20" bestFit="1" customWidth="1"/>
    <col min="15622" max="15622" width="12.85546875" style="20" bestFit="1" customWidth="1"/>
    <col min="15623" max="15623" width="10" style="20" bestFit="1" customWidth="1"/>
    <col min="15624" max="15624" width="8.140625" style="20" bestFit="1" customWidth="1"/>
    <col min="15625" max="15625" width="8.28515625" style="20" bestFit="1" customWidth="1"/>
    <col min="15626" max="15628" width="12.7109375" style="20" customWidth="1"/>
    <col min="15629" max="15629" width="7.7109375" style="20" bestFit="1" customWidth="1"/>
    <col min="15630" max="15630" width="14.85546875" style="20" customWidth="1"/>
    <col min="15631" max="15872" width="9.140625" style="20"/>
    <col min="15873" max="15873" width="5.42578125" style="20" bestFit="1" customWidth="1"/>
    <col min="15874" max="15874" width="15.5703125" style="20" bestFit="1" customWidth="1"/>
    <col min="15875" max="15875" width="10" style="20" bestFit="1" customWidth="1"/>
    <col min="15876" max="15876" width="18.85546875" style="20" bestFit="1" customWidth="1"/>
    <col min="15877" max="15877" width="10.140625" style="20" bestFit="1" customWidth="1"/>
    <col min="15878" max="15878" width="12.85546875" style="20" bestFit="1" customWidth="1"/>
    <col min="15879" max="15879" width="10" style="20" bestFit="1" customWidth="1"/>
    <col min="15880" max="15880" width="8.140625" style="20" bestFit="1" customWidth="1"/>
    <col min="15881" max="15881" width="8.28515625" style="20" bestFit="1" customWidth="1"/>
    <col min="15882" max="15884" width="12.7109375" style="20" customWidth="1"/>
    <col min="15885" max="15885" width="7.7109375" style="20" bestFit="1" customWidth="1"/>
    <col min="15886" max="15886" width="14.85546875" style="20" customWidth="1"/>
    <col min="15887" max="16128" width="9.140625" style="20"/>
    <col min="16129" max="16129" width="5.42578125" style="20" bestFit="1" customWidth="1"/>
    <col min="16130" max="16130" width="15.5703125" style="20" bestFit="1" customWidth="1"/>
    <col min="16131" max="16131" width="10" style="20" bestFit="1" customWidth="1"/>
    <col min="16132" max="16132" width="18.85546875" style="20" bestFit="1" customWidth="1"/>
    <col min="16133" max="16133" width="10.140625" style="20" bestFit="1" customWidth="1"/>
    <col min="16134" max="16134" width="12.85546875" style="20" bestFit="1" customWidth="1"/>
    <col min="16135" max="16135" width="10" style="20" bestFit="1" customWidth="1"/>
    <col min="16136" max="16136" width="8.140625" style="20" bestFit="1" customWidth="1"/>
    <col min="16137" max="16137" width="8.28515625" style="20" bestFit="1" customWidth="1"/>
    <col min="16138" max="16140" width="12.7109375" style="20" customWidth="1"/>
    <col min="16141" max="16141" width="7.7109375" style="20" bestFit="1" customWidth="1"/>
    <col min="16142" max="16142" width="14.85546875" style="20" customWidth="1"/>
    <col min="16143" max="16384" width="9.140625" style="20"/>
  </cols>
  <sheetData>
    <row r="1" spans="1:16" x14ac:dyDescent="0.25">
      <c r="A1" s="295" t="s">
        <v>76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3"/>
      <c r="P1" s="3"/>
    </row>
    <row r="2" spans="1:16" x14ac:dyDescent="0.25">
      <c r="A2" s="16"/>
      <c r="B2" s="3"/>
      <c r="C2" s="4"/>
      <c r="D2" s="4"/>
      <c r="E2" s="3"/>
      <c r="F2" s="5"/>
      <c r="G2" s="18"/>
      <c r="H2" s="18"/>
      <c r="J2" s="3"/>
      <c r="K2" s="3"/>
      <c r="L2" s="3"/>
      <c r="M2" s="3"/>
      <c r="N2" s="10" t="s">
        <v>77</v>
      </c>
      <c r="O2" s="3"/>
      <c r="P2" s="3"/>
    </row>
    <row r="3" spans="1:16" ht="30" x14ac:dyDescent="0.25">
      <c r="A3" s="21" t="s">
        <v>2</v>
      </c>
      <c r="B3" s="17" t="s">
        <v>3</v>
      </c>
      <c r="C3" s="21" t="s">
        <v>4</v>
      </c>
      <c r="D3" s="21" t="s">
        <v>5</v>
      </c>
      <c r="E3" s="21" t="s">
        <v>6</v>
      </c>
      <c r="F3" s="22" t="s">
        <v>7</v>
      </c>
      <c r="G3" s="23" t="s">
        <v>78</v>
      </c>
      <c r="H3" s="24" t="s">
        <v>9</v>
      </c>
      <c r="I3" s="23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3"/>
      <c r="P3" s="3"/>
    </row>
    <row r="4" spans="1:16" ht="45" customHeight="1" x14ac:dyDescent="0.25">
      <c r="A4" s="3">
        <v>1</v>
      </c>
      <c r="B4" s="3" t="s">
        <v>32</v>
      </c>
      <c r="C4" s="4" t="s">
        <v>33</v>
      </c>
      <c r="D4" s="4" t="s">
        <v>34</v>
      </c>
      <c r="E4" s="3" t="s">
        <v>35</v>
      </c>
      <c r="F4" s="5">
        <v>370</v>
      </c>
      <c r="G4" s="18">
        <v>127.23</v>
      </c>
      <c r="H4" s="9">
        <f>70+1159.3+40.14</f>
        <v>1269.44</v>
      </c>
      <c r="I4" s="18">
        <f>'5-22-09'!I4</f>
        <v>3817.87</v>
      </c>
      <c r="J4" s="75" t="s">
        <v>120</v>
      </c>
      <c r="K4" s="75" t="s">
        <v>120</v>
      </c>
      <c r="L4" s="75" t="s">
        <v>120</v>
      </c>
      <c r="M4" s="7" t="s">
        <v>21</v>
      </c>
      <c r="N4" s="25" t="s">
        <v>79</v>
      </c>
      <c r="O4" s="3"/>
      <c r="P4" s="3"/>
    </row>
    <row r="5" spans="1:16" ht="45" customHeight="1" x14ac:dyDescent="0.25">
      <c r="A5" s="3">
        <v>2</v>
      </c>
      <c r="B5" s="3" t="s">
        <v>36</v>
      </c>
      <c r="C5" s="4" t="s">
        <v>33</v>
      </c>
      <c r="D5" s="4" t="s">
        <v>34</v>
      </c>
      <c r="E5" s="3" t="s">
        <v>35</v>
      </c>
      <c r="F5" s="5">
        <v>370</v>
      </c>
      <c r="G5" s="18">
        <v>83.04</v>
      </c>
      <c r="H5" s="9">
        <f>70+1159.3+40.14</f>
        <v>1269.44</v>
      </c>
      <c r="I5" s="18">
        <f t="shared" ref="I5:I10" si="0">MIN(G5+H5,F5)</f>
        <v>370</v>
      </c>
      <c r="J5" s="75" t="s">
        <v>120</v>
      </c>
      <c r="K5" s="75" t="s">
        <v>120</v>
      </c>
      <c r="L5" s="75" t="s">
        <v>120</v>
      </c>
      <c r="M5" s="7" t="s">
        <v>21</v>
      </c>
      <c r="N5" s="25" t="s">
        <v>79</v>
      </c>
      <c r="O5" s="3"/>
      <c r="P5" s="3"/>
    </row>
    <row r="6" spans="1:16" ht="45" customHeight="1" x14ac:dyDescent="0.25">
      <c r="A6" s="3">
        <v>3</v>
      </c>
      <c r="B6" s="3" t="s">
        <v>37</v>
      </c>
      <c r="C6" s="4" t="s">
        <v>33</v>
      </c>
      <c r="D6" s="4" t="s">
        <v>38</v>
      </c>
      <c r="E6" s="3" t="s">
        <v>35</v>
      </c>
      <c r="F6" s="5">
        <v>130</v>
      </c>
      <c r="G6" s="18">
        <v>75.44</v>
      </c>
      <c r="H6" s="9">
        <f>70+1159.3+40.14</f>
        <v>1269.44</v>
      </c>
      <c r="I6" s="18">
        <f t="shared" si="0"/>
        <v>130</v>
      </c>
      <c r="J6" s="75" t="s">
        <v>120</v>
      </c>
      <c r="K6" s="75" t="s">
        <v>120</v>
      </c>
      <c r="L6" s="75" t="s">
        <v>120</v>
      </c>
      <c r="M6" s="7" t="s">
        <v>21</v>
      </c>
      <c r="N6" s="25" t="s">
        <v>79</v>
      </c>
      <c r="O6" s="3"/>
      <c r="P6" s="3"/>
    </row>
    <row r="7" spans="1:16" ht="45" customHeight="1" x14ac:dyDescent="0.25">
      <c r="A7" s="3">
        <v>4</v>
      </c>
      <c r="B7" s="20" t="s">
        <v>80</v>
      </c>
      <c r="C7" s="26" t="s">
        <v>81</v>
      </c>
      <c r="D7" s="26" t="s">
        <v>82</v>
      </c>
      <c r="E7" s="20" t="s">
        <v>83</v>
      </c>
      <c r="F7" s="20">
        <v>10300</v>
      </c>
      <c r="G7" s="27">
        <v>2850.44</v>
      </c>
      <c r="H7" s="27">
        <f>243.15+2781.9+40.14</f>
        <v>3065.19</v>
      </c>
      <c r="I7" s="18">
        <f t="shared" si="0"/>
        <v>5915.63</v>
      </c>
      <c r="J7" s="18">
        <v>1</v>
      </c>
      <c r="K7" s="3" t="s">
        <v>525</v>
      </c>
      <c r="L7" s="75" t="s">
        <v>120</v>
      </c>
      <c r="M7" s="7" t="s">
        <v>21</v>
      </c>
      <c r="N7" s="25" t="s">
        <v>79</v>
      </c>
      <c r="O7" s="3"/>
      <c r="P7" s="3"/>
    </row>
    <row r="8" spans="1:16" ht="45" customHeight="1" x14ac:dyDescent="0.25">
      <c r="A8" s="3">
        <v>5</v>
      </c>
      <c r="B8" s="20" t="s">
        <v>84</v>
      </c>
      <c r="C8" s="26" t="s">
        <v>85</v>
      </c>
      <c r="D8" s="26" t="s">
        <v>86</v>
      </c>
      <c r="E8" s="20" t="s">
        <v>87</v>
      </c>
      <c r="F8" s="28">
        <v>670</v>
      </c>
      <c r="G8" s="27">
        <v>77.599999999999994</v>
      </c>
      <c r="H8" s="27">
        <f>146.19+1972.96+40.14</f>
        <v>2159.29</v>
      </c>
      <c r="I8" s="18">
        <f>MIN(G8+H8,F8)</f>
        <v>670</v>
      </c>
      <c r="J8" s="18">
        <v>0.25</v>
      </c>
      <c r="K8" s="4" t="s">
        <v>528</v>
      </c>
      <c r="L8" s="75" t="s">
        <v>120</v>
      </c>
      <c r="M8" s="7" t="s">
        <v>21</v>
      </c>
      <c r="N8" s="25" t="s">
        <v>79</v>
      </c>
      <c r="O8" s="3"/>
      <c r="P8" s="3"/>
    </row>
    <row r="9" spans="1:16" ht="45" customHeight="1" x14ac:dyDescent="0.25">
      <c r="A9" s="3">
        <v>6</v>
      </c>
      <c r="B9" s="20" t="s">
        <v>88</v>
      </c>
      <c r="C9" s="26" t="s">
        <v>85</v>
      </c>
      <c r="D9" s="26" t="s">
        <v>89</v>
      </c>
      <c r="E9" s="20" t="s">
        <v>87</v>
      </c>
      <c r="F9" s="28">
        <v>5550</v>
      </c>
      <c r="G9" s="27">
        <v>1916.32</v>
      </c>
      <c r="H9" s="27">
        <f>146.19+1972.96+40.13</f>
        <v>2159.2800000000002</v>
      </c>
      <c r="I9" s="18">
        <f t="shared" si="0"/>
        <v>4075.6000000000004</v>
      </c>
      <c r="J9" s="18">
        <v>0.25</v>
      </c>
      <c r="K9" s="4" t="s">
        <v>528</v>
      </c>
      <c r="L9" s="75" t="s">
        <v>120</v>
      </c>
      <c r="M9" s="7" t="s">
        <v>21</v>
      </c>
      <c r="N9" s="25" t="s">
        <v>79</v>
      </c>
      <c r="O9" s="3"/>
      <c r="P9" s="3"/>
    </row>
    <row r="10" spans="1:16" ht="45" customHeight="1" x14ac:dyDescent="0.25">
      <c r="A10" s="3">
        <v>7</v>
      </c>
      <c r="B10" s="4" t="s">
        <v>90</v>
      </c>
      <c r="C10" s="4" t="s">
        <v>91</v>
      </c>
      <c r="D10" s="4" t="s">
        <v>92</v>
      </c>
      <c r="E10" s="3" t="s">
        <v>93</v>
      </c>
      <c r="F10" s="28">
        <v>11165</v>
      </c>
      <c r="G10" s="18">
        <v>3557.53</v>
      </c>
      <c r="H10" s="27">
        <f>288.83+2178.53+40.13</f>
        <v>2507.4900000000002</v>
      </c>
      <c r="I10" s="18">
        <f t="shared" si="0"/>
        <v>6065.02</v>
      </c>
      <c r="J10" s="18">
        <v>10</v>
      </c>
      <c r="K10" s="3" t="s">
        <v>527</v>
      </c>
      <c r="L10" s="3" t="s">
        <v>526</v>
      </c>
      <c r="M10" s="7" t="s">
        <v>21</v>
      </c>
      <c r="N10" s="25" t="s">
        <v>79</v>
      </c>
      <c r="O10" s="3"/>
      <c r="P10" s="3"/>
    </row>
    <row r="11" spans="1:16" x14ac:dyDescent="0.25">
      <c r="A11" s="296" t="s">
        <v>74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3"/>
      <c r="P11" s="3"/>
    </row>
    <row r="12" spans="1:16" ht="45" customHeight="1" x14ac:dyDescent="0.25">
      <c r="C12" s="20"/>
      <c r="D12" s="20"/>
    </row>
    <row r="13" spans="1:16" ht="45" customHeight="1" x14ac:dyDescent="0.25">
      <c r="C13" s="20"/>
      <c r="D13" s="20"/>
    </row>
    <row r="14" spans="1:16" ht="45" customHeight="1" x14ac:dyDescent="0.25">
      <c r="C14" s="20"/>
      <c r="D14" s="20"/>
    </row>
    <row r="15" spans="1:16" ht="45" customHeight="1" x14ac:dyDescent="0.25">
      <c r="C15" s="20"/>
      <c r="D15" s="20"/>
    </row>
    <row r="16" spans="1:16" ht="45" customHeight="1" x14ac:dyDescent="0.25">
      <c r="C16" s="20"/>
      <c r="D16" s="20"/>
    </row>
    <row r="17" s="20" customFormat="1" ht="45" customHeight="1" x14ac:dyDescent="0.25"/>
    <row r="18" s="20" customFormat="1" ht="45" customHeight="1" x14ac:dyDescent="0.25"/>
    <row r="19" s="20" customFormat="1" ht="45" customHeigh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  <row r="24" s="20" customFormat="1" x14ac:dyDescent="0.25"/>
    <row r="25" s="20" customFormat="1" x14ac:dyDescent="0.25"/>
    <row r="26" s="20" customFormat="1" x14ac:dyDescent="0.25"/>
    <row r="27" s="20" customFormat="1" x14ac:dyDescent="0.25"/>
    <row r="28" s="20" customFormat="1" x14ac:dyDescent="0.25"/>
    <row r="29" s="20" customFormat="1" x14ac:dyDescent="0.25"/>
    <row r="30" s="20" customFormat="1" x14ac:dyDescent="0.25"/>
    <row r="31" s="20" customFormat="1" x14ac:dyDescent="0.25"/>
    <row r="32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="20" customFormat="1" x14ac:dyDescent="0.25"/>
    <row r="50" s="20" customFormat="1" x14ac:dyDescent="0.25"/>
    <row r="51" s="20" customFormat="1" x14ac:dyDescent="0.25"/>
    <row r="52" s="20" customFormat="1" x14ac:dyDescent="0.25"/>
    <row r="53" s="20" customFormat="1" x14ac:dyDescent="0.25"/>
    <row r="54" s="20" customFormat="1" x14ac:dyDescent="0.25"/>
    <row r="55" s="20" customFormat="1" x14ac:dyDescent="0.25"/>
    <row r="56" s="20" customFormat="1" x14ac:dyDescent="0.25"/>
    <row r="57" s="20" customFormat="1" x14ac:dyDescent="0.25"/>
    <row r="58" s="20" customFormat="1" x14ac:dyDescent="0.25"/>
    <row r="59" s="20" customFormat="1" x14ac:dyDescent="0.25"/>
    <row r="60" s="20" customFormat="1" x14ac:dyDescent="0.25"/>
    <row r="61" s="20" customFormat="1" x14ac:dyDescent="0.25"/>
    <row r="62" s="20" customFormat="1" x14ac:dyDescent="0.25"/>
    <row r="63" s="20" customFormat="1" x14ac:dyDescent="0.25"/>
    <row r="64" s="20" customFormat="1" x14ac:dyDescent="0.25"/>
    <row r="65" s="20" customFormat="1" x14ac:dyDescent="0.25"/>
    <row r="66" s="20" customFormat="1" x14ac:dyDescent="0.25"/>
    <row r="67" s="20" customFormat="1" x14ac:dyDescent="0.25"/>
    <row r="68" s="20" customFormat="1" x14ac:dyDescent="0.25"/>
    <row r="69" s="20" customFormat="1" x14ac:dyDescent="0.25"/>
    <row r="70" s="20" customFormat="1" x14ac:dyDescent="0.25"/>
    <row r="71" s="20" customFormat="1" x14ac:dyDescent="0.25"/>
    <row r="72" s="20" customFormat="1" x14ac:dyDescent="0.25"/>
    <row r="73" s="20" customFormat="1" x14ac:dyDescent="0.25"/>
    <row r="74" s="20" customFormat="1" x14ac:dyDescent="0.25"/>
    <row r="75" s="20" customFormat="1" x14ac:dyDescent="0.25"/>
    <row r="76" s="20" customFormat="1" x14ac:dyDescent="0.25"/>
    <row r="77" s="20" customFormat="1" x14ac:dyDescent="0.25"/>
    <row r="78" s="20" customFormat="1" x14ac:dyDescent="0.25"/>
    <row r="79" s="20" customFormat="1" x14ac:dyDescent="0.25"/>
    <row r="80" s="20" customFormat="1" x14ac:dyDescent="0.25"/>
    <row r="81" s="20" customFormat="1" x14ac:dyDescent="0.25"/>
    <row r="82" s="20" customFormat="1" x14ac:dyDescent="0.25"/>
    <row r="83" s="20" customFormat="1" x14ac:dyDescent="0.25"/>
    <row r="84" s="20" customFormat="1" x14ac:dyDescent="0.25"/>
    <row r="85" s="20" customFormat="1" x14ac:dyDescent="0.25"/>
    <row r="86" s="20" customFormat="1" x14ac:dyDescent="0.25"/>
    <row r="87" s="20" customFormat="1" x14ac:dyDescent="0.25"/>
    <row r="88" s="20" customFormat="1" x14ac:dyDescent="0.25"/>
    <row r="89" s="20" customFormat="1" x14ac:dyDescent="0.25"/>
    <row r="90" s="20" customFormat="1" x14ac:dyDescent="0.25"/>
    <row r="91" s="20" customFormat="1" x14ac:dyDescent="0.25"/>
    <row r="92" s="20" customFormat="1" x14ac:dyDescent="0.25"/>
    <row r="93" s="20" customFormat="1" x14ac:dyDescent="0.25"/>
    <row r="94" s="20" customFormat="1" x14ac:dyDescent="0.25"/>
    <row r="95" s="20" customFormat="1" x14ac:dyDescent="0.25"/>
    <row r="96" s="20" customFormat="1" x14ac:dyDescent="0.25"/>
    <row r="97" s="20" customFormat="1" x14ac:dyDescent="0.25"/>
    <row r="98" s="20" customFormat="1" x14ac:dyDescent="0.25"/>
    <row r="99" s="20" customFormat="1" x14ac:dyDescent="0.25"/>
    <row r="100" s="20" customFormat="1" x14ac:dyDescent="0.25"/>
    <row r="101" s="20" customFormat="1" x14ac:dyDescent="0.25"/>
    <row r="102" s="20" customFormat="1" x14ac:dyDescent="0.25"/>
    <row r="103" s="20" customFormat="1" x14ac:dyDescent="0.25"/>
    <row r="104" s="20" customFormat="1" x14ac:dyDescent="0.25"/>
    <row r="105" s="20" customFormat="1" x14ac:dyDescent="0.25"/>
    <row r="106" s="20" customFormat="1" x14ac:dyDescent="0.25"/>
    <row r="107" s="20" customFormat="1" x14ac:dyDescent="0.25"/>
    <row r="108" s="20" customFormat="1" x14ac:dyDescent="0.25"/>
    <row r="109" s="20" customFormat="1" x14ac:dyDescent="0.25"/>
    <row r="110" s="20" customFormat="1" x14ac:dyDescent="0.25"/>
    <row r="111" s="20" customFormat="1" x14ac:dyDescent="0.25"/>
    <row r="112" s="20" customFormat="1" x14ac:dyDescent="0.25"/>
    <row r="113" s="20" customFormat="1" x14ac:dyDescent="0.25"/>
    <row r="114" s="20" customFormat="1" x14ac:dyDescent="0.25"/>
    <row r="115" s="20" customFormat="1" x14ac:dyDescent="0.25"/>
    <row r="116" s="20" customFormat="1" x14ac:dyDescent="0.25"/>
    <row r="117" s="20" customFormat="1" x14ac:dyDescent="0.25"/>
    <row r="118" s="20" customFormat="1" x14ac:dyDescent="0.25"/>
    <row r="119" s="20" customFormat="1" x14ac:dyDescent="0.25"/>
    <row r="120" s="20" customFormat="1" x14ac:dyDescent="0.25"/>
    <row r="121" s="20" customFormat="1" x14ac:dyDescent="0.25"/>
    <row r="122" s="20" customFormat="1" x14ac:dyDescent="0.25"/>
    <row r="123" s="20" customFormat="1" x14ac:dyDescent="0.25"/>
    <row r="124" s="20" customFormat="1" x14ac:dyDescent="0.25"/>
    <row r="125" s="20" customFormat="1" x14ac:dyDescent="0.25"/>
    <row r="126" s="20" customFormat="1" x14ac:dyDescent="0.25"/>
    <row r="127" s="20" customFormat="1" x14ac:dyDescent="0.25"/>
    <row r="128" s="20" customFormat="1" x14ac:dyDescent="0.25"/>
    <row r="129" s="20" customFormat="1" x14ac:dyDescent="0.25"/>
    <row r="130" s="20" customFormat="1" x14ac:dyDescent="0.25"/>
    <row r="131" s="20" customFormat="1" x14ac:dyDescent="0.25"/>
    <row r="132" s="20" customFormat="1" x14ac:dyDescent="0.25"/>
    <row r="133" s="20" customFormat="1" x14ac:dyDescent="0.25"/>
    <row r="134" s="20" customFormat="1" x14ac:dyDescent="0.25"/>
    <row r="135" s="20" customFormat="1" x14ac:dyDescent="0.25"/>
    <row r="136" s="20" customFormat="1" x14ac:dyDescent="0.25"/>
    <row r="137" s="20" customFormat="1" x14ac:dyDescent="0.25"/>
    <row r="138" s="20" customFormat="1" x14ac:dyDescent="0.25"/>
    <row r="139" s="20" customFormat="1" x14ac:dyDescent="0.25"/>
    <row r="140" s="20" customFormat="1" x14ac:dyDescent="0.25"/>
    <row r="141" s="20" customFormat="1" x14ac:dyDescent="0.25"/>
    <row r="142" s="20" customFormat="1" x14ac:dyDescent="0.25"/>
    <row r="143" s="20" customFormat="1" x14ac:dyDescent="0.25"/>
    <row r="144" s="20" customFormat="1" x14ac:dyDescent="0.25"/>
    <row r="145" s="20" customFormat="1" x14ac:dyDescent="0.25"/>
    <row r="146" s="20" customFormat="1" x14ac:dyDescent="0.25"/>
    <row r="147" s="20" customFormat="1" x14ac:dyDescent="0.25"/>
    <row r="148" s="20" customFormat="1" x14ac:dyDescent="0.25"/>
    <row r="149" s="20" customFormat="1" x14ac:dyDescent="0.25"/>
    <row r="150" s="20" customFormat="1" x14ac:dyDescent="0.25"/>
    <row r="151" s="20" customFormat="1" x14ac:dyDescent="0.25"/>
    <row r="152" s="20" customFormat="1" x14ac:dyDescent="0.25"/>
    <row r="153" s="20" customFormat="1" x14ac:dyDescent="0.25"/>
    <row r="154" s="20" customFormat="1" x14ac:dyDescent="0.25"/>
    <row r="155" s="20" customFormat="1" x14ac:dyDescent="0.25"/>
    <row r="156" s="20" customFormat="1" x14ac:dyDescent="0.25"/>
    <row r="157" s="20" customFormat="1" x14ac:dyDescent="0.25"/>
    <row r="158" s="20" customFormat="1" x14ac:dyDescent="0.25"/>
    <row r="159" s="20" customFormat="1" x14ac:dyDescent="0.25"/>
    <row r="160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  <row r="165" s="20" customFormat="1" x14ac:dyDescent="0.25"/>
    <row r="166" s="20" customFormat="1" x14ac:dyDescent="0.25"/>
    <row r="167" s="20" customFormat="1" x14ac:dyDescent="0.25"/>
    <row r="168" s="20" customFormat="1" x14ac:dyDescent="0.25"/>
    <row r="169" s="20" customFormat="1" x14ac:dyDescent="0.25"/>
    <row r="170" s="20" customFormat="1" x14ac:dyDescent="0.25"/>
    <row r="171" s="20" customFormat="1" x14ac:dyDescent="0.25"/>
    <row r="172" s="20" customFormat="1" x14ac:dyDescent="0.25"/>
    <row r="173" s="20" customFormat="1" x14ac:dyDescent="0.25"/>
    <row r="174" s="20" customFormat="1" x14ac:dyDescent="0.25"/>
    <row r="175" s="20" customFormat="1" x14ac:dyDescent="0.25"/>
    <row r="176" s="20" customFormat="1" x14ac:dyDescent="0.25"/>
    <row r="177" s="20" customFormat="1" x14ac:dyDescent="0.25"/>
    <row r="178" s="20" customFormat="1" x14ac:dyDescent="0.25"/>
    <row r="179" s="20" customFormat="1" x14ac:dyDescent="0.25"/>
    <row r="180" s="20" customFormat="1" x14ac:dyDescent="0.25"/>
    <row r="181" s="20" customFormat="1" x14ac:dyDescent="0.25"/>
    <row r="182" s="20" customFormat="1" x14ac:dyDescent="0.25"/>
    <row r="183" s="20" customFormat="1" x14ac:dyDescent="0.25"/>
    <row r="184" s="20" customFormat="1" x14ac:dyDescent="0.25"/>
    <row r="185" s="20" customFormat="1" x14ac:dyDescent="0.25"/>
    <row r="186" s="20" customFormat="1" x14ac:dyDescent="0.25"/>
    <row r="187" s="20" customFormat="1" x14ac:dyDescent="0.25"/>
    <row r="188" s="20" customFormat="1" x14ac:dyDescent="0.25"/>
    <row r="189" s="20" customFormat="1" x14ac:dyDescent="0.25"/>
    <row r="190" s="20" customFormat="1" x14ac:dyDescent="0.25"/>
    <row r="191" s="20" customFormat="1" x14ac:dyDescent="0.25"/>
    <row r="192" s="20" customFormat="1" x14ac:dyDescent="0.25"/>
    <row r="193" s="20" customFormat="1" x14ac:dyDescent="0.25"/>
    <row r="194" s="20" customFormat="1" x14ac:dyDescent="0.25"/>
    <row r="195" s="20" customFormat="1" x14ac:dyDescent="0.25"/>
    <row r="196" s="20" customFormat="1" x14ac:dyDescent="0.25"/>
    <row r="197" s="20" customFormat="1" x14ac:dyDescent="0.25"/>
    <row r="198" s="20" customFormat="1" x14ac:dyDescent="0.25"/>
    <row r="199" s="20" customFormat="1" x14ac:dyDescent="0.25"/>
    <row r="200" s="20" customFormat="1" x14ac:dyDescent="0.25"/>
    <row r="201" s="20" customFormat="1" x14ac:dyDescent="0.25"/>
    <row r="202" s="20" customFormat="1" x14ac:dyDescent="0.25"/>
    <row r="203" s="20" customFormat="1" x14ac:dyDescent="0.25"/>
    <row r="204" s="20" customFormat="1" x14ac:dyDescent="0.25"/>
    <row r="205" s="20" customFormat="1" x14ac:dyDescent="0.25"/>
    <row r="206" s="20" customFormat="1" x14ac:dyDescent="0.25"/>
    <row r="207" s="20" customFormat="1" x14ac:dyDescent="0.25"/>
    <row r="208" s="20" customFormat="1" x14ac:dyDescent="0.25"/>
    <row r="209" s="20" customFormat="1" x14ac:dyDescent="0.25"/>
    <row r="210" s="20" customFormat="1" x14ac:dyDescent="0.25"/>
    <row r="211" s="20" customFormat="1" x14ac:dyDescent="0.25"/>
    <row r="212" s="20" customFormat="1" x14ac:dyDescent="0.25"/>
    <row r="213" s="20" customFormat="1" x14ac:dyDescent="0.25"/>
    <row r="214" s="20" customFormat="1" x14ac:dyDescent="0.25"/>
    <row r="215" s="20" customFormat="1" x14ac:dyDescent="0.25"/>
    <row r="216" s="20" customFormat="1" x14ac:dyDescent="0.25"/>
    <row r="217" s="20" customFormat="1" x14ac:dyDescent="0.25"/>
    <row r="218" s="20" customFormat="1" x14ac:dyDescent="0.25"/>
    <row r="219" s="20" customFormat="1" x14ac:dyDescent="0.25"/>
    <row r="220" s="20" customFormat="1" x14ac:dyDescent="0.25"/>
    <row r="221" s="20" customFormat="1" x14ac:dyDescent="0.25"/>
    <row r="222" s="20" customFormat="1" x14ac:dyDescent="0.25"/>
    <row r="223" s="20" customFormat="1" x14ac:dyDescent="0.25"/>
    <row r="224" s="20" customFormat="1" x14ac:dyDescent="0.25"/>
    <row r="225" s="20" customFormat="1" x14ac:dyDescent="0.25"/>
    <row r="226" s="20" customFormat="1" x14ac:dyDescent="0.25"/>
    <row r="227" s="20" customFormat="1" x14ac:dyDescent="0.25"/>
    <row r="228" s="20" customFormat="1" x14ac:dyDescent="0.25"/>
    <row r="229" s="20" customFormat="1" x14ac:dyDescent="0.25"/>
    <row r="230" s="20" customFormat="1" x14ac:dyDescent="0.25"/>
    <row r="231" s="20" customFormat="1" x14ac:dyDescent="0.25"/>
    <row r="232" s="20" customFormat="1" x14ac:dyDescent="0.25"/>
    <row r="233" s="20" customFormat="1" x14ac:dyDescent="0.25"/>
    <row r="234" s="20" customFormat="1" x14ac:dyDescent="0.25"/>
    <row r="235" s="20" customFormat="1" x14ac:dyDescent="0.25"/>
    <row r="236" s="20" customFormat="1" x14ac:dyDescent="0.25"/>
    <row r="237" s="20" customFormat="1" x14ac:dyDescent="0.25"/>
    <row r="238" s="20" customFormat="1" x14ac:dyDescent="0.25"/>
    <row r="239" s="20" customFormat="1" x14ac:dyDescent="0.25"/>
    <row r="240" s="20" customFormat="1" x14ac:dyDescent="0.25"/>
    <row r="241" s="20" customFormat="1" x14ac:dyDescent="0.25"/>
    <row r="242" s="20" customFormat="1" x14ac:dyDescent="0.25"/>
    <row r="243" s="20" customFormat="1" x14ac:dyDescent="0.25"/>
    <row r="244" s="20" customFormat="1" x14ac:dyDescent="0.25"/>
    <row r="245" s="20" customFormat="1" x14ac:dyDescent="0.25"/>
    <row r="246" s="20" customFormat="1" x14ac:dyDescent="0.25"/>
    <row r="247" s="20" customFormat="1" x14ac:dyDescent="0.25"/>
    <row r="248" s="20" customFormat="1" x14ac:dyDescent="0.25"/>
    <row r="249" s="20" customFormat="1" x14ac:dyDescent="0.25"/>
    <row r="250" s="20" customFormat="1" x14ac:dyDescent="0.25"/>
    <row r="251" s="20" customFormat="1" x14ac:dyDescent="0.25"/>
    <row r="252" s="20" customFormat="1" x14ac:dyDescent="0.25"/>
    <row r="253" s="20" customFormat="1" x14ac:dyDescent="0.25"/>
    <row r="254" s="20" customFormat="1" x14ac:dyDescent="0.25"/>
    <row r="255" s="20" customFormat="1" x14ac:dyDescent="0.25"/>
    <row r="256" s="20" customFormat="1" x14ac:dyDescent="0.25"/>
    <row r="257" s="20" customFormat="1" x14ac:dyDescent="0.25"/>
    <row r="258" s="20" customFormat="1" x14ac:dyDescent="0.25"/>
    <row r="259" s="20" customFormat="1" x14ac:dyDescent="0.25"/>
    <row r="260" s="20" customFormat="1" x14ac:dyDescent="0.25"/>
    <row r="261" s="20" customFormat="1" x14ac:dyDescent="0.25"/>
    <row r="262" s="20" customFormat="1" x14ac:dyDescent="0.25"/>
    <row r="263" s="20" customFormat="1" x14ac:dyDescent="0.25"/>
    <row r="264" s="20" customFormat="1" x14ac:dyDescent="0.25"/>
    <row r="265" s="20" customFormat="1" x14ac:dyDescent="0.25"/>
    <row r="266" s="20" customFormat="1" x14ac:dyDescent="0.25"/>
    <row r="267" s="20" customFormat="1" x14ac:dyDescent="0.25"/>
    <row r="268" s="20" customFormat="1" x14ac:dyDescent="0.25"/>
    <row r="269" s="20" customFormat="1" x14ac:dyDescent="0.25"/>
    <row r="270" s="20" customFormat="1" x14ac:dyDescent="0.25"/>
  </sheetData>
  <mergeCells count="2">
    <mergeCell ref="A1:N1"/>
    <mergeCell ref="A11:N11"/>
  </mergeCells>
  <pageMargins left="0.7" right="0.7" top="0.75" bottom="0.75" header="0.3" footer="0.3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07"/>
  <sheetViews>
    <sheetView workbookViewId="0">
      <selection activeCell="C23" sqref="C23"/>
    </sheetView>
  </sheetViews>
  <sheetFormatPr defaultColWidth="12" defaultRowHeight="15" x14ac:dyDescent="0.25"/>
  <cols>
    <col min="1" max="1" width="5.42578125" style="3" bestFit="1" customWidth="1"/>
    <col min="2" max="2" width="15.5703125" style="3" bestFit="1" customWidth="1"/>
    <col min="3" max="3" width="14.28515625" style="4" bestFit="1" customWidth="1"/>
    <col min="4" max="4" width="15.42578125" style="4" bestFit="1" customWidth="1"/>
    <col min="5" max="5" width="10.140625" style="3" bestFit="1" customWidth="1"/>
    <col min="6" max="6" width="8.42578125" style="5" bestFit="1" customWidth="1"/>
    <col min="7" max="7" width="10" style="18" bestFit="1" customWidth="1"/>
    <col min="8" max="8" width="8.140625" style="18" bestFit="1" customWidth="1"/>
    <col min="9" max="9" width="8.28515625" style="18" bestFit="1" customWidth="1"/>
    <col min="10" max="10" width="8" style="3" bestFit="1" customWidth="1"/>
    <col min="11" max="11" width="12.140625" style="3" bestFit="1" customWidth="1"/>
    <col min="12" max="12" width="9" style="3" bestFit="1" customWidth="1"/>
    <col min="13" max="13" width="7.7109375" style="3" bestFit="1" customWidth="1"/>
    <col min="14" max="14" width="15.7109375" style="3" bestFit="1" customWidth="1"/>
    <col min="15" max="16384" width="12" style="3"/>
  </cols>
  <sheetData>
    <row r="1" spans="1:14" x14ac:dyDescent="0.25">
      <c r="A1" s="302" t="s">
        <v>529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4" x14ac:dyDescent="0.25">
      <c r="A2" s="80"/>
      <c r="B2" s="81"/>
      <c r="C2" s="82"/>
      <c r="D2" s="82"/>
      <c r="E2" s="81"/>
      <c r="F2" s="83"/>
      <c r="G2" s="84"/>
      <c r="H2" s="84"/>
      <c r="I2" s="84"/>
      <c r="J2" s="81"/>
      <c r="K2" s="81"/>
      <c r="L2" s="81"/>
      <c r="M2" s="303" t="s">
        <v>549</v>
      </c>
      <c r="N2" s="304"/>
    </row>
    <row r="3" spans="1:14" ht="45" x14ac:dyDescent="0.25">
      <c r="A3" s="85" t="s">
        <v>2</v>
      </c>
      <c r="B3" s="86" t="s">
        <v>3</v>
      </c>
      <c r="C3" s="85" t="s">
        <v>4</v>
      </c>
      <c r="D3" s="85" t="s">
        <v>5</v>
      </c>
      <c r="E3" s="85" t="s">
        <v>6</v>
      </c>
      <c r="F3" s="87" t="s">
        <v>7</v>
      </c>
      <c r="G3" s="88" t="s">
        <v>530</v>
      </c>
      <c r="H3" s="89" t="s">
        <v>9</v>
      </c>
      <c r="I3" s="88" t="s">
        <v>10</v>
      </c>
      <c r="J3" s="85" t="s">
        <v>11</v>
      </c>
      <c r="K3" s="85" t="s">
        <v>12</v>
      </c>
      <c r="L3" s="85" t="s">
        <v>13</v>
      </c>
      <c r="M3" s="85" t="s">
        <v>14</v>
      </c>
      <c r="N3" s="85" t="s">
        <v>15</v>
      </c>
    </row>
    <row r="4" spans="1:14" ht="42" customHeight="1" x14ac:dyDescent="0.25">
      <c r="A4" s="81">
        <v>1</v>
      </c>
      <c r="B4" s="81" t="s">
        <v>32</v>
      </c>
      <c r="C4" s="82" t="s">
        <v>33</v>
      </c>
      <c r="D4" s="82" t="s">
        <v>34</v>
      </c>
      <c r="E4" s="81" t="s">
        <v>35</v>
      </c>
      <c r="F4" s="83">
        <v>370</v>
      </c>
      <c r="G4" s="84">
        <v>138.55000000000001</v>
      </c>
      <c r="H4" s="90">
        <f>70+1159.3+140.64</f>
        <v>1369.94</v>
      </c>
      <c r="I4" s="84">
        <f>MIN(G4+H4,F4)</f>
        <v>370</v>
      </c>
      <c r="J4" s="84">
        <v>4.5</v>
      </c>
      <c r="K4" s="84" t="s">
        <v>550</v>
      </c>
      <c r="L4" s="90" t="s">
        <v>552</v>
      </c>
      <c r="M4" s="91" t="s">
        <v>21</v>
      </c>
      <c r="N4" s="92">
        <v>42293</v>
      </c>
    </row>
    <row r="5" spans="1:14" ht="42" customHeight="1" x14ac:dyDescent="0.25">
      <c r="A5" s="81">
        <v>2</v>
      </c>
      <c r="B5" s="81" t="s">
        <v>36</v>
      </c>
      <c r="C5" s="82" t="s">
        <v>33</v>
      </c>
      <c r="D5" s="82" t="s">
        <v>34</v>
      </c>
      <c r="E5" s="81" t="s">
        <v>35</v>
      </c>
      <c r="F5" s="83">
        <v>370</v>
      </c>
      <c r="G5" s="84">
        <v>93.02</v>
      </c>
      <c r="H5" s="90">
        <f>70+1159.3+140.63</f>
        <v>1369.9299999999998</v>
      </c>
      <c r="I5" s="84">
        <f>MIN(G5+H5,F5)</f>
        <v>370</v>
      </c>
      <c r="J5" s="84">
        <v>0.25</v>
      </c>
      <c r="K5" s="84" t="s">
        <v>550</v>
      </c>
      <c r="L5" s="81" t="s">
        <v>120</v>
      </c>
      <c r="M5" s="91" t="s">
        <v>21</v>
      </c>
      <c r="N5" s="92">
        <v>42293</v>
      </c>
    </row>
    <row r="6" spans="1:14" ht="42" customHeight="1" x14ac:dyDescent="0.25">
      <c r="A6" s="81">
        <v>3</v>
      </c>
      <c r="B6" s="81" t="s">
        <v>37</v>
      </c>
      <c r="C6" s="82" t="s">
        <v>33</v>
      </c>
      <c r="D6" s="82" t="s">
        <v>34</v>
      </c>
      <c r="E6" s="81" t="s">
        <v>35</v>
      </c>
      <c r="F6" s="83">
        <v>130</v>
      </c>
      <c r="G6" s="84">
        <v>80.680000000000007</v>
      </c>
      <c r="H6" s="90">
        <f>70+1159.3+140.63</f>
        <v>1369.9299999999998</v>
      </c>
      <c r="I6" s="84">
        <f>MIN(G6+H6,F6)</f>
        <v>130</v>
      </c>
      <c r="J6" s="84">
        <v>0.25</v>
      </c>
      <c r="K6" s="90" t="s">
        <v>552</v>
      </c>
      <c r="L6" s="81" t="s">
        <v>120</v>
      </c>
      <c r="M6" s="91" t="s">
        <v>21</v>
      </c>
      <c r="N6" s="92">
        <v>42293</v>
      </c>
    </row>
    <row r="7" spans="1:14" ht="42" customHeight="1" x14ac:dyDescent="0.25">
      <c r="A7" s="81">
        <v>4</v>
      </c>
      <c r="B7" s="81" t="s">
        <v>531</v>
      </c>
      <c r="C7" s="82" t="s">
        <v>532</v>
      </c>
      <c r="D7" s="82" t="s">
        <v>82</v>
      </c>
      <c r="E7" s="81" t="s">
        <v>533</v>
      </c>
      <c r="F7" s="83">
        <v>3710</v>
      </c>
      <c r="G7" s="84">
        <v>503.31</v>
      </c>
      <c r="H7" s="84">
        <f>648.84+35.29</f>
        <v>684.13</v>
      </c>
      <c r="I7" s="84">
        <f t="shared" ref="I7:I12" si="0">MIN(G7+H7,F7)</f>
        <v>1187.44</v>
      </c>
      <c r="J7" s="84">
        <v>0.25</v>
      </c>
      <c r="K7" s="90" t="s">
        <v>551</v>
      </c>
      <c r="L7" s="81" t="s">
        <v>120</v>
      </c>
      <c r="M7" s="91" t="s">
        <v>21</v>
      </c>
      <c r="N7" s="92">
        <v>42293</v>
      </c>
    </row>
    <row r="8" spans="1:14" ht="42" customHeight="1" x14ac:dyDescent="0.25">
      <c r="A8" s="81">
        <v>5</v>
      </c>
      <c r="B8" s="81" t="s">
        <v>534</v>
      </c>
      <c r="C8" s="82" t="s">
        <v>532</v>
      </c>
      <c r="D8" s="82" t="s">
        <v>82</v>
      </c>
      <c r="E8" s="81" t="s">
        <v>533</v>
      </c>
      <c r="F8" s="83">
        <v>2250</v>
      </c>
      <c r="G8" s="84">
        <v>270</v>
      </c>
      <c r="H8" s="84">
        <f>648.84+35.29</f>
        <v>684.13</v>
      </c>
      <c r="I8" s="84">
        <f t="shared" si="0"/>
        <v>954.13</v>
      </c>
      <c r="J8" s="93">
        <v>0.25</v>
      </c>
      <c r="K8" s="94" t="s">
        <v>551</v>
      </c>
      <c r="L8" s="81" t="s">
        <v>120</v>
      </c>
      <c r="M8" s="95" t="s">
        <v>21</v>
      </c>
      <c r="N8" s="92">
        <v>42293</v>
      </c>
    </row>
    <row r="9" spans="1:14" ht="42" customHeight="1" x14ac:dyDescent="0.25">
      <c r="A9" s="81">
        <v>6</v>
      </c>
      <c r="B9" s="81" t="s">
        <v>535</v>
      </c>
      <c r="C9" s="82" t="s">
        <v>536</v>
      </c>
      <c r="D9" s="82" t="s">
        <v>537</v>
      </c>
      <c r="E9" s="82" t="s">
        <v>538</v>
      </c>
      <c r="F9" s="83">
        <v>4650</v>
      </c>
      <c r="G9" s="84">
        <f>566.25+6.86</f>
        <v>573.11</v>
      </c>
      <c r="H9" s="84">
        <f>753.57+35.29</f>
        <v>788.86</v>
      </c>
      <c r="I9" s="84">
        <f t="shared" si="0"/>
        <v>1361.97</v>
      </c>
      <c r="J9" s="81" t="s">
        <v>120</v>
      </c>
      <c r="K9" s="81" t="s">
        <v>120</v>
      </c>
      <c r="L9" s="81" t="s">
        <v>120</v>
      </c>
      <c r="M9" s="91" t="s">
        <v>21</v>
      </c>
      <c r="N9" s="92">
        <v>42293</v>
      </c>
    </row>
    <row r="10" spans="1:14" ht="42" customHeight="1" x14ac:dyDescent="0.25">
      <c r="A10" s="81">
        <v>7</v>
      </c>
      <c r="B10" s="81" t="s">
        <v>539</v>
      </c>
      <c r="C10" s="82" t="s">
        <v>540</v>
      </c>
      <c r="D10" s="82" t="s">
        <v>541</v>
      </c>
      <c r="E10" s="82" t="s">
        <v>542</v>
      </c>
      <c r="F10" s="83">
        <v>3500</v>
      </c>
      <c r="G10" s="84">
        <v>4884.3999999999996</v>
      </c>
      <c r="H10" s="84">
        <f>756.57+35.29</f>
        <v>791.86</v>
      </c>
      <c r="I10" s="84">
        <f t="shared" si="0"/>
        <v>3500</v>
      </c>
      <c r="J10" s="81" t="s">
        <v>120</v>
      </c>
      <c r="K10" s="81" t="s">
        <v>120</v>
      </c>
      <c r="L10" s="81" t="s">
        <v>120</v>
      </c>
      <c r="M10" s="91" t="s">
        <v>21</v>
      </c>
      <c r="N10" s="92">
        <v>42293</v>
      </c>
    </row>
    <row r="11" spans="1:14" ht="42" customHeight="1" x14ac:dyDescent="0.25">
      <c r="A11" s="81">
        <v>8</v>
      </c>
      <c r="B11" s="81" t="s">
        <v>543</v>
      </c>
      <c r="C11" s="82" t="s">
        <v>540</v>
      </c>
      <c r="D11" s="82" t="s">
        <v>541</v>
      </c>
      <c r="E11" s="82" t="s">
        <v>544</v>
      </c>
      <c r="F11" s="5">
        <v>18</v>
      </c>
      <c r="G11" s="84">
        <v>1382.35</v>
      </c>
      <c r="H11" s="84">
        <f>737.39+35.29</f>
        <v>772.68</v>
      </c>
      <c r="I11" s="84">
        <f t="shared" si="0"/>
        <v>18</v>
      </c>
      <c r="J11" s="81" t="s">
        <v>120</v>
      </c>
      <c r="K11" s="81" t="s">
        <v>120</v>
      </c>
      <c r="L11" s="81" t="s">
        <v>120</v>
      </c>
      <c r="M11" s="91" t="s">
        <v>21</v>
      </c>
      <c r="N11" s="92">
        <v>42293</v>
      </c>
    </row>
    <row r="12" spans="1:14" ht="42" customHeight="1" x14ac:dyDescent="0.25">
      <c r="A12" s="81">
        <v>9</v>
      </c>
      <c r="B12" s="81" t="s">
        <v>545</v>
      </c>
      <c r="C12" s="82" t="s">
        <v>546</v>
      </c>
      <c r="D12" s="82" t="s">
        <v>547</v>
      </c>
      <c r="E12" s="84" t="s">
        <v>548</v>
      </c>
      <c r="F12" s="83">
        <v>4650</v>
      </c>
      <c r="G12" s="84">
        <v>4208.5</v>
      </c>
      <c r="H12" s="84">
        <f>768.99+35.28</f>
        <v>804.27</v>
      </c>
      <c r="I12" s="84">
        <f t="shared" si="0"/>
        <v>4650</v>
      </c>
      <c r="J12" s="81" t="s">
        <v>120</v>
      </c>
      <c r="K12" s="81" t="s">
        <v>120</v>
      </c>
      <c r="L12" s="81" t="s">
        <v>120</v>
      </c>
      <c r="M12" s="91" t="s">
        <v>21</v>
      </c>
      <c r="N12" s="92">
        <v>42293</v>
      </c>
    </row>
    <row r="13" spans="1:14" x14ac:dyDescent="0.25">
      <c r="A13" s="296" t="s">
        <v>74</v>
      </c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</row>
    <row r="14" spans="1:14" x14ac:dyDescent="0.25">
      <c r="C14" s="3"/>
      <c r="D14" s="3"/>
    </row>
    <row r="15" spans="1:14" x14ac:dyDescent="0.25">
      <c r="C15" s="3"/>
      <c r="D15" s="3"/>
      <c r="F15" s="3"/>
      <c r="G15" s="3"/>
      <c r="H15" s="3"/>
      <c r="I15" s="3"/>
    </row>
    <row r="16" spans="1:14" x14ac:dyDescent="0.25">
      <c r="C16" s="3"/>
      <c r="D16" s="3"/>
      <c r="F16" s="3"/>
      <c r="G16" s="3"/>
      <c r="H16" s="3"/>
      <c r="I16" s="3"/>
    </row>
    <row r="17" spans="3:9" x14ac:dyDescent="0.25">
      <c r="C17" s="3"/>
      <c r="D17" s="3"/>
      <c r="F17" s="3"/>
      <c r="G17" s="3"/>
      <c r="H17" s="3"/>
      <c r="I17" s="3"/>
    </row>
    <row r="18" spans="3:9" x14ac:dyDescent="0.25">
      <c r="C18" s="3"/>
      <c r="D18" s="3"/>
      <c r="F18" s="3"/>
      <c r="G18" s="3"/>
      <c r="H18" s="3"/>
      <c r="I18" s="3"/>
    </row>
    <row r="19" spans="3:9" x14ac:dyDescent="0.25">
      <c r="C19" s="3"/>
      <c r="D19" s="3"/>
      <c r="F19" s="3"/>
      <c r="G19" s="3"/>
      <c r="H19" s="3"/>
      <c r="I19" s="3"/>
    </row>
    <row r="20" spans="3:9" x14ac:dyDescent="0.25">
      <c r="C20" s="3"/>
      <c r="D20" s="3"/>
      <c r="F20" s="3"/>
      <c r="G20" s="3"/>
      <c r="H20" s="3"/>
      <c r="I20" s="3"/>
    </row>
    <row r="21" spans="3:9" x14ac:dyDescent="0.25">
      <c r="C21" s="3"/>
      <c r="D21" s="3"/>
      <c r="F21" s="3"/>
      <c r="G21" s="3"/>
      <c r="H21" s="3"/>
      <c r="I21" s="3"/>
    </row>
    <row r="22" spans="3:9" x14ac:dyDescent="0.25">
      <c r="C22" s="3"/>
      <c r="D22" s="3"/>
      <c r="F22" s="3"/>
      <c r="G22" s="3"/>
      <c r="H22" s="3"/>
      <c r="I22" s="3"/>
    </row>
    <row r="23" spans="3:9" x14ac:dyDescent="0.25">
      <c r="C23" s="3"/>
      <c r="D23" s="3"/>
      <c r="F23" s="3"/>
      <c r="G23" s="3"/>
      <c r="H23" s="3"/>
      <c r="I23" s="3"/>
    </row>
    <row r="24" spans="3:9" x14ac:dyDescent="0.25">
      <c r="C24" s="3"/>
      <c r="D24" s="3"/>
      <c r="F24" s="3"/>
      <c r="G24" s="3"/>
      <c r="H24" s="3"/>
      <c r="I24" s="3"/>
    </row>
    <row r="25" spans="3:9" x14ac:dyDescent="0.25">
      <c r="C25" s="3"/>
      <c r="D25" s="3"/>
      <c r="F25" s="3"/>
      <c r="G25" s="3"/>
      <c r="H25" s="3"/>
      <c r="I25" s="3"/>
    </row>
    <row r="26" spans="3:9" x14ac:dyDescent="0.25">
      <c r="F26" s="3"/>
      <c r="G26" s="3"/>
      <c r="H26" s="3"/>
      <c r="I26" s="3"/>
    </row>
    <row r="27" spans="3:9" x14ac:dyDescent="0.25">
      <c r="F27" s="3"/>
      <c r="G27" s="3"/>
      <c r="H27" s="3"/>
      <c r="I27" s="3"/>
    </row>
    <row r="28" spans="3:9" x14ac:dyDescent="0.25">
      <c r="C28" s="3"/>
      <c r="D28" s="3"/>
      <c r="F28" s="3"/>
      <c r="G28" s="3"/>
      <c r="H28" s="3"/>
      <c r="I28" s="3"/>
    </row>
    <row r="29" spans="3:9" x14ac:dyDescent="0.25">
      <c r="C29" s="3"/>
      <c r="D29" s="3"/>
      <c r="F29" s="3"/>
      <c r="G29" s="3"/>
      <c r="H29" s="3"/>
      <c r="I29" s="3"/>
    </row>
    <row r="30" spans="3:9" x14ac:dyDescent="0.25">
      <c r="C30" s="3"/>
      <c r="D30" s="3"/>
      <c r="F30" s="3"/>
      <c r="G30" s="3"/>
      <c r="H30" s="3"/>
      <c r="I30" s="3"/>
    </row>
    <row r="31" spans="3:9" x14ac:dyDescent="0.25">
      <c r="C31" s="3"/>
      <c r="D31" s="3"/>
      <c r="F31" s="3"/>
      <c r="G31" s="3"/>
      <c r="H31" s="3"/>
      <c r="I31" s="3"/>
    </row>
    <row r="32" spans="3:9" x14ac:dyDescent="0.25">
      <c r="C32" s="3"/>
      <c r="D32" s="3"/>
      <c r="F32" s="3"/>
      <c r="G32" s="3"/>
      <c r="H32" s="3"/>
      <c r="I32" s="3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</sheetData>
  <mergeCells count="3">
    <mergeCell ref="A1:N1"/>
    <mergeCell ref="M2:N2"/>
    <mergeCell ref="A13:N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04"/>
  <sheetViews>
    <sheetView topLeftCell="A16" workbookViewId="0">
      <selection activeCell="A16" sqref="A14:XFD16"/>
    </sheetView>
  </sheetViews>
  <sheetFormatPr defaultColWidth="13.42578125" defaultRowHeight="12" x14ac:dyDescent="0.25"/>
  <cols>
    <col min="1" max="1" width="3" style="103" bestFit="1" customWidth="1"/>
    <col min="2" max="2" width="15.28515625" style="103" bestFit="1" customWidth="1"/>
    <col min="3" max="3" width="14.85546875" style="112" bestFit="1" customWidth="1"/>
    <col min="4" max="4" width="20.85546875" style="112" bestFit="1" customWidth="1"/>
    <col min="5" max="5" width="9.85546875" style="103" bestFit="1" customWidth="1"/>
    <col min="6" max="6" width="7.85546875" style="113" bestFit="1" customWidth="1"/>
    <col min="7" max="7" width="8.85546875" style="111" bestFit="1" customWidth="1"/>
    <col min="8" max="8" width="7.85546875" style="111" bestFit="1" customWidth="1"/>
    <col min="9" max="9" width="9.140625" style="111" bestFit="1" customWidth="1"/>
    <col min="10" max="10" width="7.5703125" style="111" customWidth="1"/>
    <col min="11" max="11" width="11.85546875" style="103" customWidth="1"/>
    <col min="12" max="12" width="8.42578125" style="103" bestFit="1" customWidth="1"/>
    <col min="13" max="13" width="25.5703125" style="103" bestFit="1" customWidth="1"/>
    <col min="14" max="14" width="9.5703125" style="103" bestFit="1" customWidth="1"/>
    <col min="15" max="16384" width="13.42578125" style="103"/>
  </cols>
  <sheetData>
    <row r="1" spans="1:14" s="97" customFormat="1" ht="15" x14ac:dyDescent="0.25">
      <c r="A1" s="305" t="s">
        <v>553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96">
        <v>42517</v>
      </c>
    </row>
    <row r="2" spans="1:14" ht="42" customHeight="1" x14ac:dyDescent="0.25">
      <c r="A2" s="98" t="s">
        <v>554</v>
      </c>
      <c r="B2" s="99" t="s">
        <v>3</v>
      </c>
      <c r="C2" s="98" t="s">
        <v>4</v>
      </c>
      <c r="D2" s="98" t="s">
        <v>5</v>
      </c>
      <c r="E2" s="98" t="s">
        <v>6</v>
      </c>
      <c r="F2" s="100" t="s">
        <v>7</v>
      </c>
      <c r="G2" s="101" t="s">
        <v>555</v>
      </c>
      <c r="H2" s="102" t="s">
        <v>9</v>
      </c>
      <c r="I2" s="101" t="s">
        <v>10</v>
      </c>
      <c r="J2" s="101" t="s">
        <v>11</v>
      </c>
      <c r="K2" s="98" t="s">
        <v>12</v>
      </c>
      <c r="L2" s="98" t="s">
        <v>13</v>
      </c>
      <c r="M2" s="98" t="s">
        <v>14</v>
      </c>
      <c r="N2" s="98" t="s">
        <v>15</v>
      </c>
    </row>
    <row r="3" spans="1:14" ht="42" customHeight="1" x14ac:dyDescent="0.25">
      <c r="A3" s="104">
        <v>1</v>
      </c>
      <c r="B3" s="104" t="s">
        <v>556</v>
      </c>
      <c r="C3" s="105" t="s">
        <v>536</v>
      </c>
      <c r="D3" s="105" t="s">
        <v>557</v>
      </c>
      <c r="E3" s="106" t="s">
        <v>538</v>
      </c>
      <c r="F3" s="107">
        <v>4650</v>
      </c>
      <c r="G3" s="108">
        <v>704.84</v>
      </c>
      <c r="H3" s="108">
        <f>SUM(759.57+54.89)</f>
        <v>814.46</v>
      </c>
      <c r="I3" s="84">
        <f>MIN(G3+H3,F3)</f>
        <v>1519.3000000000002</v>
      </c>
      <c r="J3" s="108">
        <v>1</v>
      </c>
      <c r="K3" s="108" t="s">
        <v>558</v>
      </c>
      <c r="L3" s="105" t="s">
        <v>120</v>
      </c>
      <c r="M3" s="105" t="s">
        <v>559</v>
      </c>
      <c r="N3" s="109">
        <v>42517</v>
      </c>
    </row>
    <row r="4" spans="1:14" ht="42" customHeight="1" x14ac:dyDescent="0.25">
      <c r="A4" s="104">
        <v>2</v>
      </c>
      <c r="B4" s="104" t="s">
        <v>560</v>
      </c>
      <c r="C4" s="105" t="s">
        <v>540</v>
      </c>
      <c r="D4" s="105" t="s">
        <v>561</v>
      </c>
      <c r="E4" s="106" t="s">
        <v>544</v>
      </c>
      <c r="F4" s="107">
        <v>3500</v>
      </c>
      <c r="G4" s="108">
        <v>5039.37</v>
      </c>
      <c r="H4" s="108">
        <f>737.39+54.89</f>
        <v>792.28</v>
      </c>
      <c r="I4" s="84">
        <f t="shared" ref="I4:I13" si="0">MIN(G4+H4,F4)</f>
        <v>3500</v>
      </c>
      <c r="J4" s="307" t="s">
        <v>562</v>
      </c>
      <c r="K4" s="308"/>
      <c r="L4" s="309"/>
      <c r="M4" s="105" t="s">
        <v>559</v>
      </c>
      <c r="N4" s="109">
        <v>42517</v>
      </c>
    </row>
    <row r="5" spans="1:14" ht="42" customHeight="1" x14ac:dyDescent="0.25">
      <c r="A5" s="104">
        <v>3</v>
      </c>
      <c r="B5" s="104" t="s">
        <v>563</v>
      </c>
      <c r="C5" s="105" t="s">
        <v>540</v>
      </c>
      <c r="D5" s="105" t="s">
        <v>561</v>
      </c>
      <c r="E5" s="106" t="s">
        <v>542</v>
      </c>
      <c r="F5" s="107">
        <v>18</v>
      </c>
      <c r="G5" s="108">
        <v>1433.98</v>
      </c>
      <c r="H5" s="108">
        <f>SUM(739.57+54.89)</f>
        <v>794.46</v>
      </c>
      <c r="I5" s="84">
        <f>MIN(G5+H5,F5)</f>
        <v>18</v>
      </c>
      <c r="J5" s="307" t="s">
        <v>562</v>
      </c>
      <c r="K5" s="308"/>
      <c r="L5" s="309"/>
      <c r="M5" s="105" t="s">
        <v>559</v>
      </c>
      <c r="N5" s="109">
        <v>42517</v>
      </c>
    </row>
    <row r="6" spans="1:14" ht="42" customHeight="1" x14ac:dyDescent="0.25">
      <c r="A6" s="104">
        <v>4</v>
      </c>
      <c r="B6" s="104" t="s">
        <v>564</v>
      </c>
      <c r="C6" s="105" t="s">
        <v>546</v>
      </c>
      <c r="D6" s="105" t="s">
        <v>565</v>
      </c>
      <c r="E6" s="106" t="s">
        <v>566</v>
      </c>
      <c r="F6" s="107">
        <v>10939</v>
      </c>
      <c r="G6" s="108">
        <v>4506.99</v>
      </c>
      <c r="H6" s="108">
        <f>SUM(768+54.88)</f>
        <v>822.88</v>
      </c>
      <c r="I6" s="84">
        <f t="shared" si="0"/>
        <v>5329.87</v>
      </c>
      <c r="J6" s="108">
        <v>1</v>
      </c>
      <c r="K6" s="110" t="s">
        <v>567</v>
      </c>
      <c r="L6" s="105" t="s">
        <v>120</v>
      </c>
      <c r="M6" s="105" t="s">
        <v>559</v>
      </c>
      <c r="N6" s="109">
        <v>42517</v>
      </c>
    </row>
    <row r="7" spans="1:14" ht="42" customHeight="1" x14ac:dyDescent="0.25">
      <c r="A7" s="104">
        <v>5</v>
      </c>
      <c r="B7" s="104" t="s">
        <v>568</v>
      </c>
      <c r="C7" s="105" t="s">
        <v>569</v>
      </c>
      <c r="D7" s="105" t="s">
        <v>570</v>
      </c>
      <c r="E7" s="104" t="s">
        <v>571</v>
      </c>
      <c r="F7" s="107">
        <v>7095</v>
      </c>
      <c r="G7" s="108">
        <v>1337.57</v>
      </c>
      <c r="H7" s="108">
        <f>SUM(750.08+19.6)</f>
        <v>769.68000000000006</v>
      </c>
      <c r="I7" s="84">
        <f t="shared" si="0"/>
        <v>2107.25</v>
      </c>
      <c r="J7" s="108">
        <v>1</v>
      </c>
      <c r="K7" s="108" t="s">
        <v>572</v>
      </c>
      <c r="L7" s="105" t="s">
        <v>120</v>
      </c>
      <c r="M7" s="105" t="s">
        <v>289</v>
      </c>
      <c r="N7" s="109">
        <v>42517</v>
      </c>
    </row>
    <row r="8" spans="1:14" ht="42" customHeight="1" x14ac:dyDescent="0.25">
      <c r="A8" s="104">
        <v>6</v>
      </c>
      <c r="B8" s="104" t="s">
        <v>573</v>
      </c>
      <c r="C8" s="105" t="s">
        <v>574</v>
      </c>
      <c r="D8" s="105" t="s">
        <v>575</v>
      </c>
      <c r="E8" s="104" t="s">
        <v>576</v>
      </c>
      <c r="F8" s="107">
        <v>38790</v>
      </c>
      <c r="G8" s="108">
        <v>6075</v>
      </c>
      <c r="H8" s="108">
        <f>SUM(768.43+19.6)</f>
        <v>788.03</v>
      </c>
      <c r="I8" s="84">
        <f t="shared" si="0"/>
        <v>6863.03</v>
      </c>
      <c r="J8" s="108">
        <v>1000</v>
      </c>
      <c r="K8" s="104" t="s">
        <v>577</v>
      </c>
      <c r="L8" s="105" t="s">
        <v>525</v>
      </c>
      <c r="M8" s="105" t="s">
        <v>289</v>
      </c>
      <c r="N8" s="109">
        <v>42517</v>
      </c>
    </row>
    <row r="9" spans="1:14" ht="42" customHeight="1" x14ac:dyDescent="0.25">
      <c r="A9" s="104">
        <v>7</v>
      </c>
      <c r="B9" s="104" t="s">
        <v>471</v>
      </c>
      <c r="C9" s="105" t="s">
        <v>578</v>
      </c>
      <c r="D9" s="105" t="s">
        <v>579</v>
      </c>
      <c r="E9" s="104" t="s">
        <v>580</v>
      </c>
      <c r="F9" s="107">
        <v>7910</v>
      </c>
      <c r="G9" s="108">
        <v>667.3</v>
      </c>
      <c r="H9" s="108">
        <f>SUM(579.62+19.6)</f>
        <v>599.22</v>
      </c>
      <c r="I9" s="84">
        <f t="shared" si="0"/>
        <v>1266.52</v>
      </c>
      <c r="J9" s="108">
        <v>1</v>
      </c>
      <c r="K9" s="104" t="s">
        <v>581</v>
      </c>
      <c r="L9" s="105" t="s">
        <v>120</v>
      </c>
      <c r="M9" s="105" t="s">
        <v>289</v>
      </c>
      <c r="N9" s="109">
        <v>42517</v>
      </c>
    </row>
    <row r="10" spans="1:14" ht="42" customHeight="1" x14ac:dyDescent="0.25">
      <c r="A10" s="104">
        <v>8</v>
      </c>
      <c r="B10" s="104" t="s">
        <v>473</v>
      </c>
      <c r="C10" s="105" t="s">
        <v>578</v>
      </c>
      <c r="D10" s="105" t="s">
        <v>579</v>
      </c>
      <c r="E10" s="104" t="s">
        <v>580</v>
      </c>
      <c r="F10" s="107">
        <v>2930</v>
      </c>
      <c r="G10" s="108">
        <v>291.29000000000002</v>
      </c>
      <c r="H10" s="108">
        <f>SUM(579.62+19.6)</f>
        <v>599.22</v>
      </c>
      <c r="I10" s="84">
        <f t="shared" si="0"/>
        <v>890.51</v>
      </c>
      <c r="J10" s="108">
        <v>1</v>
      </c>
      <c r="K10" s="104" t="s">
        <v>581</v>
      </c>
      <c r="L10" s="105" t="s">
        <v>120</v>
      </c>
      <c r="M10" s="105" t="s">
        <v>289</v>
      </c>
      <c r="N10" s="109">
        <v>42517</v>
      </c>
    </row>
    <row r="11" spans="1:14" ht="42" customHeight="1" x14ac:dyDescent="0.25">
      <c r="A11" s="104">
        <v>9</v>
      </c>
      <c r="B11" s="104" t="s">
        <v>475</v>
      </c>
      <c r="C11" s="105" t="s">
        <v>578</v>
      </c>
      <c r="D11" s="105" t="s">
        <v>579</v>
      </c>
      <c r="E11" s="104" t="s">
        <v>580</v>
      </c>
      <c r="F11" s="107">
        <v>1240</v>
      </c>
      <c r="G11" s="108">
        <v>135.56</v>
      </c>
      <c r="H11" s="108">
        <f>SUM(579.62+19.6)</f>
        <v>599.22</v>
      </c>
      <c r="I11" s="84">
        <f t="shared" si="0"/>
        <v>734.78</v>
      </c>
      <c r="J11" s="108">
        <v>1</v>
      </c>
      <c r="K11" s="104" t="s">
        <v>581</v>
      </c>
      <c r="L11" s="105" t="s">
        <v>120</v>
      </c>
      <c r="M11" s="105" t="s">
        <v>289</v>
      </c>
      <c r="N11" s="109">
        <v>42517</v>
      </c>
    </row>
    <row r="12" spans="1:14" ht="42" customHeight="1" x14ac:dyDescent="0.25">
      <c r="A12" s="104">
        <v>10</v>
      </c>
      <c r="B12" s="104" t="s">
        <v>582</v>
      </c>
      <c r="C12" s="105" t="s">
        <v>583</v>
      </c>
      <c r="D12" s="105" t="s">
        <v>584</v>
      </c>
      <c r="E12" s="104" t="s">
        <v>585</v>
      </c>
      <c r="F12" s="107">
        <v>71840</v>
      </c>
      <c r="G12" s="108">
        <v>14263.72</v>
      </c>
      <c r="H12" s="108">
        <f>SUM(709+19.6)</f>
        <v>728.6</v>
      </c>
      <c r="I12" s="84">
        <f t="shared" si="0"/>
        <v>14992.32</v>
      </c>
      <c r="J12" s="307" t="s">
        <v>562</v>
      </c>
      <c r="K12" s="308"/>
      <c r="L12" s="309"/>
      <c r="M12" s="105" t="s">
        <v>289</v>
      </c>
      <c r="N12" s="109">
        <v>42517</v>
      </c>
    </row>
    <row r="13" spans="1:14" ht="46.5" x14ac:dyDescent="0.25">
      <c r="A13" s="104">
        <v>11</v>
      </c>
      <c r="B13" s="104" t="s">
        <v>586</v>
      </c>
      <c r="C13" s="105" t="s">
        <v>587</v>
      </c>
      <c r="D13" s="105" t="s">
        <v>588</v>
      </c>
      <c r="E13" s="104" t="s">
        <v>589</v>
      </c>
      <c r="F13" s="107">
        <v>350</v>
      </c>
      <c r="G13" s="108">
        <v>1231.3</v>
      </c>
      <c r="H13" s="108">
        <f>SUM(767.09+19.6)</f>
        <v>786.69</v>
      </c>
      <c r="I13" s="84">
        <f t="shared" si="0"/>
        <v>350</v>
      </c>
      <c r="J13" s="310" t="s">
        <v>590</v>
      </c>
      <c r="K13" s="311"/>
      <c r="L13" s="312"/>
      <c r="M13" s="105" t="s">
        <v>289</v>
      </c>
      <c r="N13" s="109">
        <v>42517</v>
      </c>
    </row>
    <row r="14" spans="1:14" ht="46.5" x14ac:dyDescent="0.25">
      <c r="A14" s="104">
        <v>12</v>
      </c>
      <c r="B14" s="104" t="s">
        <v>591</v>
      </c>
      <c r="C14" s="105" t="s">
        <v>592</v>
      </c>
      <c r="D14" s="105" t="s">
        <v>593</v>
      </c>
      <c r="E14" s="105" t="s">
        <v>594</v>
      </c>
      <c r="F14" s="107">
        <v>4593</v>
      </c>
      <c r="G14" s="108">
        <v>4940.1400000000003</v>
      </c>
      <c r="H14" s="108">
        <f>SUM(1601.38+19.6)</f>
        <v>1620.98</v>
      </c>
      <c r="I14" s="84">
        <f>MIN(G14+H14,F14)</f>
        <v>4593</v>
      </c>
      <c r="J14" s="310" t="s">
        <v>590</v>
      </c>
      <c r="K14" s="311"/>
      <c r="L14" s="312"/>
      <c r="M14" s="105" t="s">
        <v>289</v>
      </c>
      <c r="N14" s="109">
        <v>42517</v>
      </c>
    </row>
    <row r="15" spans="1:14" ht="46.5" x14ac:dyDescent="0.25">
      <c r="A15" s="104">
        <v>13</v>
      </c>
      <c r="B15" s="104" t="s">
        <v>595</v>
      </c>
      <c r="C15" s="105" t="s">
        <v>596</v>
      </c>
      <c r="D15" s="105" t="s">
        <v>597</v>
      </c>
      <c r="E15" s="105" t="s">
        <v>598</v>
      </c>
      <c r="F15" s="107">
        <v>1890</v>
      </c>
      <c r="G15" s="108">
        <v>286.17</v>
      </c>
      <c r="H15" s="108">
        <f>SUM(860.17+19.6)</f>
        <v>879.77</v>
      </c>
      <c r="I15" s="84">
        <f>MIN(G15+H15,F15)</f>
        <v>1165.94</v>
      </c>
      <c r="J15" s="310" t="s">
        <v>590</v>
      </c>
      <c r="K15" s="311"/>
      <c r="L15" s="312"/>
      <c r="M15" s="105" t="s">
        <v>289</v>
      </c>
      <c r="N15" s="109">
        <v>42517</v>
      </c>
    </row>
    <row r="16" spans="1:14" ht="42" customHeight="1" x14ac:dyDescent="0.25">
      <c r="A16" s="104">
        <v>14</v>
      </c>
      <c r="B16" s="104" t="s">
        <v>599</v>
      </c>
      <c r="C16" s="105" t="s">
        <v>600</v>
      </c>
      <c r="D16" s="105" t="s">
        <v>601</v>
      </c>
      <c r="E16" s="105" t="s">
        <v>602</v>
      </c>
      <c r="F16" s="107">
        <v>6335</v>
      </c>
      <c r="G16" s="108">
        <v>3425.06</v>
      </c>
      <c r="H16" s="108">
        <f>SUM(1766.7+19.6)</f>
        <v>1786.3</v>
      </c>
      <c r="I16" s="84">
        <f>MIN(G16+H16,F16)</f>
        <v>5211.3599999999997</v>
      </c>
      <c r="J16" s="307" t="s">
        <v>562</v>
      </c>
      <c r="K16" s="308"/>
      <c r="L16" s="309"/>
      <c r="M16" s="105" t="s">
        <v>289</v>
      </c>
      <c r="N16" s="109">
        <v>42517</v>
      </c>
    </row>
    <row r="17" spans="1:14" ht="42" customHeight="1" x14ac:dyDescent="0.25">
      <c r="A17" s="104">
        <v>15</v>
      </c>
      <c r="B17" s="104" t="s">
        <v>603</v>
      </c>
      <c r="C17" s="105" t="s">
        <v>604</v>
      </c>
      <c r="D17" s="105" t="s">
        <v>605</v>
      </c>
      <c r="E17" s="108" t="s">
        <v>606</v>
      </c>
      <c r="F17" s="107">
        <v>2230</v>
      </c>
      <c r="G17" s="108">
        <v>295.07</v>
      </c>
      <c r="H17" s="108">
        <f>SUM(779.44+19.6)</f>
        <v>799.04000000000008</v>
      </c>
      <c r="I17" s="84">
        <f t="shared" ref="I17:I18" si="1">MIN(G17+H17,F17)</f>
        <v>1094.1100000000001</v>
      </c>
      <c r="J17" s="108">
        <v>1</v>
      </c>
      <c r="K17" s="108" t="s">
        <v>607</v>
      </c>
      <c r="L17" s="105" t="s">
        <v>120</v>
      </c>
      <c r="M17" s="105" t="s">
        <v>289</v>
      </c>
      <c r="N17" s="109">
        <v>42517</v>
      </c>
    </row>
    <row r="18" spans="1:14" ht="42" customHeight="1" x14ac:dyDescent="0.25">
      <c r="A18" s="104">
        <v>16</v>
      </c>
      <c r="B18" s="104" t="s">
        <v>608</v>
      </c>
      <c r="C18" s="105" t="s">
        <v>604</v>
      </c>
      <c r="D18" s="105" t="s">
        <v>605</v>
      </c>
      <c r="E18" s="104" t="s">
        <v>609</v>
      </c>
      <c r="F18" s="107">
        <v>175</v>
      </c>
      <c r="G18" s="108">
        <v>482.66</v>
      </c>
      <c r="H18" s="108">
        <f>SUM(775.44+19.6)</f>
        <v>795.04000000000008</v>
      </c>
      <c r="I18" s="84">
        <f t="shared" si="1"/>
        <v>175</v>
      </c>
      <c r="J18" s="108">
        <v>1</v>
      </c>
      <c r="K18" s="108" t="s">
        <v>607</v>
      </c>
      <c r="L18" s="105" t="s">
        <v>120</v>
      </c>
      <c r="M18" s="105" t="s">
        <v>289</v>
      </c>
      <c r="N18" s="109">
        <v>42517</v>
      </c>
    </row>
    <row r="19" spans="1:14" ht="42" customHeight="1" x14ac:dyDescent="0.25">
      <c r="A19" s="104">
        <v>17</v>
      </c>
      <c r="B19" s="104" t="s">
        <v>610</v>
      </c>
      <c r="C19" s="105" t="s">
        <v>611</v>
      </c>
      <c r="D19" s="108" t="s">
        <v>304</v>
      </c>
      <c r="E19" s="108" t="s">
        <v>304</v>
      </c>
      <c r="F19" s="107">
        <v>31920</v>
      </c>
      <c r="G19" s="108">
        <v>3911.37</v>
      </c>
      <c r="H19" s="108" t="s">
        <v>304</v>
      </c>
      <c r="I19" s="108" t="s">
        <v>304</v>
      </c>
      <c r="J19" s="307" t="s">
        <v>120</v>
      </c>
      <c r="K19" s="308"/>
      <c r="L19" s="309"/>
      <c r="M19" s="105" t="s">
        <v>612</v>
      </c>
      <c r="N19" s="105" t="s">
        <v>304</v>
      </c>
    </row>
    <row r="20" spans="1:14" ht="42" customHeight="1" x14ac:dyDescent="0.25">
      <c r="A20" s="104">
        <v>18</v>
      </c>
      <c r="B20" s="104" t="s">
        <v>613</v>
      </c>
      <c r="C20" s="105" t="s">
        <v>614</v>
      </c>
      <c r="D20" s="108" t="s">
        <v>304</v>
      </c>
      <c r="E20" s="108" t="s">
        <v>304</v>
      </c>
      <c r="F20" s="107">
        <v>525</v>
      </c>
      <c r="G20" s="108">
        <v>1326.79</v>
      </c>
      <c r="H20" s="108" t="s">
        <v>304</v>
      </c>
      <c r="I20" s="108" t="s">
        <v>304</v>
      </c>
      <c r="J20" s="307" t="s">
        <v>120</v>
      </c>
      <c r="K20" s="308"/>
      <c r="L20" s="309"/>
      <c r="M20" s="105" t="s">
        <v>612</v>
      </c>
      <c r="N20" s="105" t="s">
        <v>304</v>
      </c>
    </row>
    <row r="21" spans="1:14" ht="42" customHeight="1" x14ac:dyDescent="0.25">
      <c r="A21" s="104">
        <v>19</v>
      </c>
      <c r="B21" s="104" t="s">
        <v>615</v>
      </c>
      <c r="C21" s="105" t="s">
        <v>616</v>
      </c>
      <c r="D21" s="110" t="s">
        <v>617</v>
      </c>
      <c r="E21" s="108" t="s">
        <v>618</v>
      </c>
      <c r="F21" s="107">
        <v>8170</v>
      </c>
      <c r="G21" s="108">
        <v>447.24</v>
      </c>
      <c r="H21" s="108">
        <f>SUM(1370+19.6)</f>
        <v>1389.6</v>
      </c>
      <c r="I21" s="84">
        <f t="shared" ref="I21:I24" si="2">MIN(G21+H21,F21)</f>
        <v>1836.84</v>
      </c>
      <c r="J21" s="307" t="s">
        <v>562</v>
      </c>
      <c r="K21" s="308"/>
      <c r="L21" s="309"/>
      <c r="M21" s="105" t="s">
        <v>289</v>
      </c>
      <c r="N21" s="109">
        <v>42517</v>
      </c>
    </row>
    <row r="22" spans="1:14" ht="42" customHeight="1" x14ac:dyDescent="0.25">
      <c r="A22" s="104">
        <v>20</v>
      </c>
      <c r="B22" s="104" t="s">
        <v>619</v>
      </c>
      <c r="C22" s="105" t="s">
        <v>616</v>
      </c>
      <c r="D22" s="110" t="s">
        <v>620</v>
      </c>
      <c r="E22" s="108" t="s">
        <v>621</v>
      </c>
      <c r="F22" s="107">
        <v>8690</v>
      </c>
      <c r="G22" s="108">
        <v>555.35</v>
      </c>
      <c r="H22" s="108">
        <f>SUM(1364+19.6)</f>
        <v>1383.6</v>
      </c>
      <c r="I22" s="84">
        <f t="shared" si="2"/>
        <v>1938.9499999999998</v>
      </c>
      <c r="J22" s="108">
        <v>1</v>
      </c>
      <c r="K22" s="105" t="s">
        <v>622</v>
      </c>
      <c r="L22" s="105" t="s">
        <v>120</v>
      </c>
      <c r="M22" s="105" t="s">
        <v>289</v>
      </c>
      <c r="N22" s="109">
        <v>42517</v>
      </c>
    </row>
    <row r="23" spans="1:14" ht="42" customHeight="1" x14ac:dyDescent="0.25">
      <c r="A23" s="104">
        <v>21</v>
      </c>
      <c r="B23" s="104" t="s">
        <v>623</v>
      </c>
      <c r="C23" s="105" t="s">
        <v>616</v>
      </c>
      <c r="D23" s="110" t="s">
        <v>624</v>
      </c>
      <c r="E23" s="108" t="s">
        <v>625</v>
      </c>
      <c r="F23" s="107">
        <v>660</v>
      </c>
      <c r="G23" s="108">
        <v>42.89</v>
      </c>
      <c r="H23" s="108">
        <f>SUM(1370+19.6)</f>
        <v>1389.6</v>
      </c>
      <c r="I23" s="84">
        <f t="shared" si="2"/>
        <v>660</v>
      </c>
      <c r="J23" s="307" t="s">
        <v>562</v>
      </c>
      <c r="K23" s="308"/>
      <c r="L23" s="309"/>
      <c r="M23" s="105" t="s">
        <v>289</v>
      </c>
      <c r="N23" s="109">
        <v>42517</v>
      </c>
    </row>
    <row r="24" spans="1:14" ht="42" customHeight="1" x14ac:dyDescent="0.25">
      <c r="A24" s="104">
        <v>22</v>
      </c>
      <c r="B24" s="104" t="s">
        <v>626</v>
      </c>
      <c r="C24" s="105" t="s">
        <v>616</v>
      </c>
      <c r="D24" s="110" t="s">
        <v>627</v>
      </c>
      <c r="E24" s="108" t="s">
        <v>628</v>
      </c>
      <c r="F24" s="107">
        <v>8040</v>
      </c>
      <c r="G24" s="108">
        <v>497.76</v>
      </c>
      <c r="H24" s="108">
        <f>SUM(1364+19.6)</f>
        <v>1383.6</v>
      </c>
      <c r="I24" s="84">
        <f t="shared" si="2"/>
        <v>1881.36</v>
      </c>
      <c r="J24" s="307" t="s">
        <v>562</v>
      </c>
      <c r="K24" s="308"/>
      <c r="L24" s="309"/>
      <c r="M24" s="105" t="s">
        <v>289</v>
      </c>
      <c r="N24" s="109">
        <v>42517</v>
      </c>
    </row>
    <row r="25" spans="1:14" x14ac:dyDescent="0.25">
      <c r="A25" s="313" t="s">
        <v>74</v>
      </c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</row>
    <row r="26" spans="1:14" ht="42" customHeight="1" x14ac:dyDescent="0.25">
      <c r="C26" s="103"/>
      <c r="D26" s="103"/>
      <c r="F26" s="103"/>
      <c r="G26" s="103"/>
      <c r="H26" s="103"/>
      <c r="I26" s="103"/>
    </row>
    <row r="27" spans="1:14" ht="42" customHeight="1" x14ac:dyDescent="0.25">
      <c r="C27" s="103"/>
      <c r="D27" s="103"/>
      <c r="F27" s="103"/>
      <c r="G27" s="103"/>
      <c r="I27" s="103"/>
    </row>
    <row r="28" spans="1:14" ht="42" customHeight="1" x14ac:dyDescent="0.25">
      <c r="C28" s="103"/>
      <c r="D28" s="103"/>
      <c r="F28" s="103"/>
      <c r="G28" s="103"/>
      <c r="H28" s="103"/>
      <c r="I28" s="103"/>
    </row>
    <row r="29" spans="1:14" ht="42" customHeight="1" x14ac:dyDescent="0.25">
      <c r="C29" s="103"/>
      <c r="D29" s="103"/>
      <c r="F29" s="103"/>
      <c r="G29" s="103"/>
      <c r="H29" s="103"/>
      <c r="I29" s="103"/>
    </row>
    <row r="30" spans="1:14" ht="42" customHeight="1" x14ac:dyDescent="0.25">
      <c r="C30" s="103"/>
      <c r="D30" s="103"/>
      <c r="F30" s="103"/>
      <c r="G30" s="103"/>
      <c r="H30" s="103"/>
      <c r="I30" s="103"/>
      <c r="J30" s="103"/>
    </row>
    <row r="31" spans="1:14" ht="42" customHeight="1" x14ac:dyDescent="0.25">
      <c r="C31" s="103"/>
      <c r="D31" s="103"/>
      <c r="F31" s="103"/>
      <c r="G31" s="103"/>
      <c r="H31" s="103"/>
      <c r="I31" s="103"/>
      <c r="J31" s="103"/>
    </row>
    <row r="32" spans="1:14" ht="42" customHeight="1" x14ac:dyDescent="0.25">
      <c r="C32" s="103"/>
      <c r="D32" s="103"/>
      <c r="F32" s="103"/>
      <c r="G32" s="103"/>
      <c r="H32" s="103"/>
      <c r="I32" s="103"/>
      <c r="J32" s="103"/>
    </row>
    <row r="33" s="103" customFormat="1" ht="42" customHeight="1" x14ac:dyDescent="0.25"/>
    <row r="34" s="103" customFormat="1" ht="42" customHeight="1" x14ac:dyDescent="0.25"/>
    <row r="35" s="103" customFormat="1" ht="42" customHeight="1" x14ac:dyDescent="0.25"/>
    <row r="36" s="103" customFormat="1" ht="42" customHeight="1" x14ac:dyDescent="0.25"/>
    <row r="37" s="103" customFormat="1" ht="42" customHeight="1" x14ac:dyDescent="0.25"/>
    <row r="38" s="103" customFormat="1" ht="42" customHeight="1" x14ac:dyDescent="0.25"/>
    <row r="39" s="103" customFormat="1" ht="42" customHeight="1" x14ac:dyDescent="0.25"/>
    <row r="40" s="103" customFormat="1" ht="42" customHeight="1" x14ac:dyDescent="0.25"/>
    <row r="41" s="103" customFormat="1" ht="42" customHeight="1" x14ac:dyDescent="0.25"/>
    <row r="42" s="103" customFormat="1" ht="42" customHeight="1" x14ac:dyDescent="0.25"/>
    <row r="43" s="103" customFormat="1" ht="42" customHeight="1" x14ac:dyDescent="0.25"/>
    <row r="44" s="103" customFormat="1" ht="42" customHeight="1" x14ac:dyDescent="0.25"/>
    <row r="45" s="103" customFormat="1" ht="42" customHeight="1" x14ac:dyDescent="0.25"/>
    <row r="46" s="103" customFormat="1" ht="42" customHeight="1" x14ac:dyDescent="0.25"/>
    <row r="47" s="103" customFormat="1" ht="42" customHeight="1" x14ac:dyDescent="0.25"/>
    <row r="48" s="103" customFormat="1" ht="42" customHeight="1" x14ac:dyDescent="0.25"/>
    <row r="49" s="103" customFormat="1" ht="42" customHeight="1" x14ac:dyDescent="0.25"/>
    <row r="50" s="103" customFormat="1" ht="42" customHeight="1" x14ac:dyDescent="0.25"/>
    <row r="51" s="103" customFormat="1" ht="42" customHeight="1" x14ac:dyDescent="0.25"/>
    <row r="52" s="103" customFormat="1" ht="42" customHeight="1" x14ac:dyDescent="0.25"/>
    <row r="53" s="103" customFormat="1" ht="42" customHeight="1" x14ac:dyDescent="0.25"/>
    <row r="54" s="103" customFormat="1" ht="42" customHeight="1" x14ac:dyDescent="0.25"/>
    <row r="55" s="103" customFormat="1" ht="42" customHeight="1" x14ac:dyDescent="0.25"/>
    <row r="56" s="103" customFormat="1" ht="42" customHeight="1" x14ac:dyDescent="0.25"/>
    <row r="57" s="103" customFormat="1" ht="42" customHeight="1" x14ac:dyDescent="0.25"/>
    <row r="58" s="103" customFormat="1" ht="42" customHeight="1" x14ac:dyDescent="0.25"/>
    <row r="59" s="103" customFormat="1" ht="42" customHeight="1" x14ac:dyDescent="0.25"/>
    <row r="60" s="103" customFormat="1" ht="42" customHeight="1" x14ac:dyDescent="0.25"/>
    <row r="61" s="103" customFormat="1" ht="42" customHeight="1" x14ac:dyDescent="0.25"/>
    <row r="62" s="103" customFormat="1" ht="42" customHeight="1" x14ac:dyDescent="0.25"/>
    <row r="63" s="103" customFormat="1" ht="42" customHeight="1" x14ac:dyDescent="0.25"/>
    <row r="64" s="103" customFormat="1" ht="42" customHeight="1" x14ac:dyDescent="0.25"/>
    <row r="65" s="103" customFormat="1" ht="42" customHeight="1" x14ac:dyDescent="0.25"/>
    <row r="66" s="103" customFormat="1" ht="42" customHeight="1" x14ac:dyDescent="0.25"/>
    <row r="67" s="103" customFormat="1" ht="42" customHeight="1" x14ac:dyDescent="0.25"/>
    <row r="68" s="103" customFormat="1" ht="42" customHeight="1" x14ac:dyDescent="0.25"/>
    <row r="69" s="103" customFormat="1" ht="42" customHeight="1" x14ac:dyDescent="0.25"/>
    <row r="70" s="103" customFormat="1" ht="42" customHeight="1" x14ac:dyDescent="0.25"/>
    <row r="71" s="103" customFormat="1" ht="42" customHeight="1" x14ac:dyDescent="0.25"/>
    <row r="72" s="103" customFormat="1" ht="42" customHeight="1" x14ac:dyDescent="0.25"/>
    <row r="73" s="103" customFormat="1" ht="42" customHeight="1" x14ac:dyDescent="0.25"/>
    <row r="74" s="103" customFormat="1" ht="42" customHeight="1" x14ac:dyDescent="0.25"/>
    <row r="75" s="103" customFormat="1" ht="42" customHeight="1" x14ac:dyDescent="0.25"/>
    <row r="76" s="103" customFormat="1" ht="42" customHeight="1" x14ac:dyDescent="0.25"/>
    <row r="77" s="103" customFormat="1" ht="42" customHeight="1" x14ac:dyDescent="0.25"/>
    <row r="78" s="103" customFormat="1" ht="42" customHeight="1" x14ac:dyDescent="0.25"/>
    <row r="79" s="103" customFormat="1" ht="42" customHeight="1" x14ac:dyDescent="0.25"/>
    <row r="80" s="103" customFormat="1" ht="42" customHeight="1" x14ac:dyDescent="0.25"/>
    <row r="81" s="103" customFormat="1" ht="42" customHeight="1" x14ac:dyDescent="0.25"/>
    <row r="82" s="103" customFormat="1" ht="42" customHeight="1" x14ac:dyDescent="0.25"/>
    <row r="83" s="103" customFormat="1" ht="42" customHeight="1" x14ac:dyDescent="0.25"/>
    <row r="84" s="103" customFormat="1" ht="42" customHeight="1" x14ac:dyDescent="0.25"/>
    <row r="85" s="103" customFormat="1" ht="42" customHeight="1" x14ac:dyDescent="0.25"/>
    <row r="86" s="103" customFormat="1" ht="42" customHeight="1" x14ac:dyDescent="0.25"/>
    <row r="87" s="103" customFormat="1" ht="42" customHeight="1" x14ac:dyDescent="0.25"/>
    <row r="88" s="103" customFormat="1" ht="42" customHeight="1" x14ac:dyDescent="0.25"/>
    <row r="89" s="103" customFormat="1" ht="42" customHeight="1" x14ac:dyDescent="0.25"/>
    <row r="90" s="103" customFormat="1" ht="42" customHeight="1" x14ac:dyDescent="0.25"/>
    <row r="91" s="103" customFormat="1" ht="42" customHeight="1" x14ac:dyDescent="0.25"/>
    <row r="92" s="103" customFormat="1" ht="42" customHeight="1" x14ac:dyDescent="0.25"/>
    <row r="93" s="103" customFormat="1" ht="42" customHeight="1" x14ac:dyDescent="0.25"/>
    <row r="94" s="103" customFormat="1" ht="42" customHeight="1" x14ac:dyDescent="0.25"/>
    <row r="95" s="103" customFormat="1" ht="42" customHeight="1" x14ac:dyDescent="0.25"/>
    <row r="96" s="103" customFormat="1" ht="42" customHeight="1" x14ac:dyDescent="0.25"/>
    <row r="97" s="103" customFormat="1" ht="42" customHeight="1" x14ac:dyDescent="0.25"/>
    <row r="98" s="103" customFormat="1" ht="42" customHeight="1" x14ac:dyDescent="0.25"/>
    <row r="99" s="103" customFormat="1" ht="42" customHeight="1" x14ac:dyDescent="0.25"/>
    <row r="100" s="103" customFormat="1" ht="42" customHeight="1" x14ac:dyDescent="0.25"/>
    <row r="101" s="103" customFormat="1" ht="42" customHeight="1" x14ac:dyDescent="0.25"/>
    <row r="102" s="103" customFormat="1" ht="42" customHeight="1" x14ac:dyDescent="0.25"/>
    <row r="103" s="103" customFormat="1" ht="42" customHeight="1" x14ac:dyDescent="0.25"/>
    <row r="104" s="103" customFormat="1" ht="42" customHeight="1" x14ac:dyDescent="0.25"/>
    <row r="105" s="103" customFormat="1" ht="42" customHeight="1" x14ac:dyDescent="0.25"/>
    <row r="106" s="103" customFormat="1" ht="42" customHeight="1" x14ac:dyDescent="0.25"/>
    <row r="107" s="103" customFormat="1" ht="42" customHeight="1" x14ac:dyDescent="0.25"/>
    <row r="108" s="103" customFormat="1" ht="42" customHeight="1" x14ac:dyDescent="0.25"/>
    <row r="109" s="103" customFormat="1" ht="42" customHeight="1" x14ac:dyDescent="0.25"/>
    <row r="110" s="103" customFormat="1" ht="42" customHeight="1" x14ac:dyDescent="0.25"/>
    <row r="111" s="103" customFormat="1" ht="42" customHeight="1" x14ac:dyDescent="0.25"/>
    <row r="112" s="103" customFormat="1" ht="42" customHeight="1" x14ac:dyDescent="0.25"/>
    <row r="113" s="103" customFormat="1" ht="42" customHeight="1" x14ac:dyDescent="0.25"/>
    <row r="114" s="103" customFormat="1" ht="42" customHeight="1" x14ac:dyDescent="0.25"/>
    <row r="115" s="103" customFormat="1" ht="42" customHeight="1" x14ac:dyDescent="0.25"/>
    <row r="116" s="103" customFormat="1" ht="42" customHeight="1" x14ac:dyDescent="0.25"/>
    <row r="117" s="103" customFormat="1" ht="42" customHeight="1" x14ac:dyDescent="0.25"/>
    <row r="118" s="103" customFormat="1" ht="42" customHeight="1" x14ac:dyDescent="0.25"/>
    <row r="119" s="103" customFormat="1" ht="42" customHeight="1" x14ac:dyDescent="0.25"/>
    <row r="120" s="103" customFormat="1" ht="42" customHeight="1" x14ac:dyDescent="0.25"/>
    <row r="121" s="103" customFormat="1" ht="42" customHeight="1" x14ac:dyDescent="0.25"/>
    <row r="122" s="103" customFormat="1" ht="42" customHeight="1" x14ac:dyDescent="0.25"/>
    <row r="123" s="103" customFormat="1" ht="42" customHeight="1" x14ac:dyDescent="0.25"/>
    <row r="124" s="103" customFormat="1" ht="42" customHeight="1" x14ac:dyDescent="0.25"/>
    <row r="125" s="103" customFormat="1" ht="42" customHeight="1" x14ac:dyDescent="0.25"/>
    <row r="126" s="103" customFormat="1" ht="42" customHeight="1" x14ac:dyDescent="0.25"/>
    <row r="127" s="103" customFormat="1" ht="42" customHeight="1" x14ac:dyDescent="0.25"/>
    <row r="128" s="103" customFormat="1" ht="42" customHeight="1" x14ac:dyDescent="0.25"/>
    <row r="129" s="103" customFormat="1" ht="42" customHeight="1" x14ac:dyDescent="0.25"/>
    <row r="130" s="103" customFormat="1" ht="42" customHeight="1" x14ac:dyDescent="0.25"/>
    <row r="131" s="103" customFormat="1" ht="42" customHeight="1" x14ac:dyDescent="0.25"/>
    <row r="132" s="103" customFormat="1" ht="42" customHeight="1" x14ac:dyDescent="0.25"/>
    <row r="133" s="103" customFormat="1" ht="42" customHeight="1" x14ac:dyDescent="0.25"/>
    <row r="134" s="103" customFormat="1" ht="42" customHeight="1" x14ac:dyDescent="0.25"/>
    <row r="135" s="103" customFormat="1" ht="42" customHeight="1" x14ac:dyDescent="0.25"/>
    <row r="136" s="103" customFormat="1" ht="42" customHeight="1" x14ac:dyDescent="0.25"/>
    <row r="137" s="103" customFormat="1" ht="42" customHeight="1" x14ac:dyDescent="0.25"/>
    <row r="138" s="103" customFormat="1" ht="42" customHeight="1" x14ac:dyDescent="0.25"/>
    <row r="139" s="103" customFormat="1" ht="42" customHeight="1" x14ac:dyDescent="0.25"/>
    <row r="140" s="103" customFormat="1" ht="42" customHeight="1" x14ac:dyDescent="0.25"/>
    <row r="141" s="103" customFormat="1" ht="42" customHeight="1" x14ac:dyDescent="0.25"/>
    <row r="142" s="103" customFormat="1" ht="42" customHeight="1" x14ac:dyDescent="0.25"/>
    <row r="143" s="103" customFormat="1" ht="42" customHeight="1" x14ac:dyDescent="0.25"/>
    <row r="144" s="103" customFormat="1" ht="42" customHeight="1" x14ac:dyDescent="0.25"/>
    <row r="145" s="103" customFormat="1" ht="42" customHeight="1" x14ac:dyDescent="0.25"/>
    <row r="146" s="103" customFormat="1" ht="42" customHeight="1" x14ac:dyDescent="0.25"/>
    <row r="147" s="103" customFormat="1" ht="42" customHeight="1" x14ac:dyDescent="0.25"/>
    <row r="148" s="103" customFormat="1" ht="42" customHeight="1" x14ac:dyDescent="0.25"/>
    <row r="149" s="103" customFormat="1" ht="42" customHeight="1" x14ac:dyDescent="0.25"/>
    <row r="150" s="103" customFormat="1" ht="42" customHeight="1" x14ac:dyDescent="0.25"/>
    <row r="151" s="103" customFormat="1" ht="42" customHeight="1" x14ac:dyDescent="0.25"/>
    <row r="152" s="103" customFormat="1" ht="42" customHeight="1" x14ac:dyDescent="0.25"/>
    <row r="153" s="103" customFormat="1" ht="42" customHeight="1" x14ac:dyDescent="0.25"/>
    <row r="154" s="103" customFormat="1" ht="42" customHeight="1" x14ac:dyDescent="0.25"/>
    <row r="155" s="103" customFormat="1" ht="42" customHeight="1" x14ac:dyDescent="0.25"/>
    <row r="156" s="103" customFormat="1" ht="42" customHeight="1" x14ac:dyDescent="0.25"/>
    <row r="157" s="103" customFormat="1" ht="42" customHeight="1" x14ac:dyDescent="0.25"/>
    <row r="158" s="103" customFormat="1" ht="42" customHeight="1" x14ac:dyDescent="0.25"/>
    <row r="159" s="103" customFormat="1" ht="42" customHeight="1" x14ac:dyDescent="0.25"/>
    <row r="160" s="103" customFormat="1" ht="42" customHeight="1" x14ac:dyDescent="0.25"/>
    <row r="161" s="103" customFormat="1" ht="42" customHeight="1" x14ac:dyDescent="0.25"/>
    <row r="162" s="103" customFormat="1" ht="42" customHeight="1" x14ac:dyDescent="0.25"/>
    <row r="163" s="103" customFormat="1" ht="42" customHeight="1" x14ac:dyDescent="0.25"/>
    <row r="164" s="103" customFormat="1" ht="42" customHeight="1" x14ac:dyDescent="0.25"/>
    <row r="165" s="103" customFormat="1" ht="42" customHeight="1" x14ac:dyDescent="0.25"/>
    <row r="166" s="103" customFormat="1" ht="42" customHeight="1" x14ac:dyDescent="0.25"/>
    <row r="167" s="103" customFormat="1" ht="42" customHeight="1" x14ac:dyDescent="0.25"/>
    <row r="168" s="103" customFormat="1" ht="42" customHeight="1" x14ac:dyDescent="0.25"/>
    <row r="169" s="103" customFormat="1" ht="42" customHeight="1" x14ac:dyDescent="0.25"/>
    <row r="170" s="103" customFormat="1" ht="42" customHeight="1" x14ac:dyDescent="0.25"/>
    <row r="171" s="103" customFormat="1" ht="42" customHeight="1" x14ac:dyDescent="0.25"/>
    <row r="172" s="103" customFormat="1" ht="42" customHeight="1" x14ac:dyDescent="0.25"/>
    <row r="173" s="103" customFormat="1" ht="42" customHeight="1" x14ac:dyDescent="0.25"/>
    <row r="174" s="103" customFormat="1" ht="42" customHeight="1" x14ac:dyDescent="0.25"/>
    <row r="175" s="103" customFormat="1" ht="42" customHeight="1" x14ac:dyDescent="0.25"/>
    <row r="176" s="103" customFormat="1" ht="42" customHeight="1" x14ac:dyDescent="0.25"/>
    <row r="177" s="103" customFormat="1" ht="42" customHeight="1" x14ac:dyDescent="0.25"/>
    <row r="178" s="103" customFormat="1" ht="42" customHeight="1" x14ac:dyDescent="0.25"/>
    <row r="179" s="103" customFormat="1" ht="42" customHeight="1" x14ac:dyDescent="0.25"/>
    <row r="180" s="103" customFormat="1" ht="42" customHeight="1" x14ac:dyDescent="0.25"/>
    <row r="181" s="103" customFormat="1" ht="42" customHeight="1" x14ac:dyDescent="0.25"/>
    <row r="182" s="103" customFormat="1" ht="42" customHeight="1" x14ac:dyDescent="0.25"/>
    <row r="183" s="103" customFormat="1" ht="42" customHeight="1" x14ac:dyDescent="0.25"/>
    <row r="184" s="103" customFormat="1" ht="42" customHeight="1" x14ac:dyDescent="0.25"/>
    <row r="185" s="103" customFormat="1" ht="42" customHeight="1" x14ac:dyDescent="0.25"/>
    <row r="186" s="103" customFormat="1" ht="42" customHeight="1" x14ac:dyDescent="0.25"/>
    <row r="187" s="103" customFormat="1" ht="42" customHeight="1" x14ac:dyDescent="0.25"/>
    <row r="188" s="103" customFormat="1" ht="42" customHeight="1" x14ac:dyDescent="0.25"/>
    <row r="189" s="103" customFormat="1" ht="42" customHeight="1" x14ac:dyDescent="0.25"/>
    <row r="190" s="103" customFormat="1" ht="42" customHeight="1" x14ac:dyDescent="0.25"/>
    <row r="191" s="103" customFormat="1" ht="42" customHeight="1" x14ac:dyDescent="0.25"/>
    <row r="192" s="103" customFormat="1" ht="42" customHeight="1" x14ac:dyDescent="0.25"/>
    <row r="193" s="103" customFormat="1" ht="42" customHeight="1" x14ac:dyDescent="0.25"/>
    <row r="194" s="103" customFormat="1" ht="42" customHeight="1" x14ac:dyDescent="0.25"/>
    <row r="195" s="103" customFormat="1" ht="42" customHeight="1" x14ac:dyDescent="0.25"/>
    <row r="196" s="103" customFormat="1" ht="42" customHeight="1" x14ac:dyDescent="0.25"/>
    <row r="197" s="103" customFormat="1" ht="42" customHeight="1" x14ac:dyDescent="0.25"/>
    <row r="198" s="103" customFormat="1" ht="42" customHeight="1" x14ac:dyDescent="0.25"/>
    <row r="199" s="103" customFormat="1" ht="42" customHeight="1" x14ac:dyDescent="0.25"/>
    <row r="200" s="103" customFormat="1" ht="42" customHeight="1" x14ac:dyDescent="0.25"/>
    <row r="201" s="103" customFormat="1" ht="42" customHeight="1" x14ac:dyDescent="0.25"/>
    <row r="202" s="103" customFormat="1" ht="42" customHeight="1" x14ac:dyDescent="0.25"/>
    <row r="203" s="103" customFormat="1" ht="42" customHeight="1" x14ac:dyDescent="0.25"/>
    <row r="204" s="103" customFormat="1" ht="42" customHeight="1" x14ac:dyDescent="0.25"/>
    <row r="205" s="103" customFormat="1" ht="42" customHeight="1" x14ac:dyDescent="0.25"/>
    <row r="206" s="103" customFormat="1" ht="42" customHeight="1" x14ac:dyDescent="0.25"/>
    <row r="207" s="103" customFormat="1" ht="42" customHeight="1" x14ac:dyDescent="0.25"/>
    <row r="208" s="103" customFormat="1" ht="42" customHeight="1" x14ac:dyDescent="0.25"/>
    <row r="209" s="103" customFormat="1" ht="42" customHeight="1" x14ac:dyDescent="0.25"/>
    <row r="210" s="103" customFormat="1" ht="42" customHeight="1" x14ac:dyDescent="0.25"/>
    <row r="211" s="103" customFormat="1" ht="42" customHeight="1" x14ac:dyDescent="0.25"/>
    <row r="212" s="103" customFormat="1" ht="42" customHeight="1" x14ac:dyDescent="0.25"/>
    <row r="213" s="103" customFormat="1" ht="42" customHeight="1" x14ac:dyDescent="0.25"/>
    <row r="214" s="103" customFormat="1" ht="42" customHeight="1" x14ac:dyDescent="0.25"/>
    <row r="215" s="103" customFormat="1" ht="42" customHeight="1" x14ac:dyDescent="0.25"/>
    <row r="216" s="103" customFormat="1" ht="42" customHeight="1" x14ac:dyDescent="0.25"/>
    <row r="217" s="103" customFormat="1" ht="42" customHeight="1" x14ac:dyDescent="0.25"/>
    <row r="218" s="103" customFormat="1" ht="42" customHeight="1" x14ac:dyDescent="0.25"/>
    <row r="219" s="103" customFormat="1" ht="42" customHeight="1" x14ac:dyDescent="0.25"/>
    <row r="220" s="103" customFormat="1" ht="42" customHeight="1" x14ac:dyDescent="0.25"/>
    <row r="221" s="103" customFormat="1" ht="42" customHeight="1" x14ac:dyDescent="0.25"/>
    <row r="222" s="103" customFormat="1" ht="42" customHeight="1" x14ac:dyDescent="0.25"/>
    <row r="223" s="103" customFormat="1" ht="42" customHeight="1" x14ac:dyDescent="0.25"/>
    <row r="224" s="103" customFormat="1" ht="42" customHeight="1" x14ac:dyDescent="0.25"/>
    <row r="225" s="103" customFormat="1" ht="42" customHeight="1" x14ac:dyDescent="0.25"/>
    <row r="226" s="103" customFormat="1" ht="42" customHeight="1" x14ac:dyDescent="0.25"/>
    <row r="227" s="103" customFormat="1" ht="42" customHeight="1" x14ac:dyDescent="0.25"/>
    <row r="228" s="103" customFormat="1" ht="42" customHeight="1" x14ac:dyDescent="0.25"/>
    <row r="229" s="103" customFormat="1" ht="42" customHeight="1" x14ac:dyDescent="0.25"/>
    <row r="230" s="103" customFormat="1" ht="42" customHeight="1" x14ac:dyDescent="0.25"/>
    <row r="231" s="103" customFormat="1" ht="42" customHeight="1" x14ac:dyDescent="0.25"/>
    <row r="232" s="103" customFormat="1" ht="42" customHeight="1" x14ac:dyDescent="0.25"/>
    <row r="233" s="103" customFormat="1" ht="42" customHeight="1" x14ac:dyDescent="0.25"/>
    <row r="234" s="103" customFormat="1" ht="42" customHeight="1" x14ac:dyDescent="0.25"/>
    <row r="235" s="103" customFormat="1" ht="42" customHeight="1" x14ac:dyDescent="0.25"/>
    <row r="236" s="103" customFormat="1" ht="42" customHeight="1" x14ac:dyDescent="0.25"/>
    <row r="237" s="103" customFormat="1" ht="42" customHeight="1" x14ac:dyDescent="0.25"/>
    <row r="238" s="103" customFormat="1" ht="42" customHeight="1" x14ac:dyDescent="0.25"/>
    <row r="239" s="103" customFormat="1" ht="42" customHeight="1" x14ac:dyDescent="0.25"/>
    <row r="240" s="103" customFormat="1" ht="42" customHeight="1" x14ac:dyDescent="0.25"/>
    <row r="241" s="103" customFormat="1" ht="42" customHeight="1" x14ac:dyDescent="0.25"/>
    <row r="242" s="103" customFormat="1" ht="42" customHeight="1" x14ac:dyDescent="0.25"/>
    <row r="243" s="103" customFormat="1" ht="42" customHeight="1" x14ac:dyDescent="0.25"/>
    <row r="244" s="103" customFormat="1" ht="42" customHeight="1" x14ac:dyDescent="0.25"/>
    <row r="245" s="103" customFormat="1" ht="42" customHeight="1" x14ac:dyDescent="0.25"/>
    <row r="246" s="103" customFormat="1" ht="42" customHeight="1" x14ac:dyDescent="0.25"/>
    <row r="247" s="103" customFormat="1" ht="42" customHeight="1" x14ac:dyDescent="0.25"/>
    <row r="248" s="103" customFormat="1" ht="42" customHeight="1" x14ac:dyDescent="0.25"/>
    <row r="249" s="103" customFormat="1" ht="42" customHeight="1" x14ac:dyDescent="0.25"/>
    <row r="250" s="103" customFormat="1" ht="42" customHeight="1" x14ac:dyDescent="0.25"/>
    <row r="251" s="103" customFormat="1" ht="42" customHeight="1" x14ac:dyDescent="0.25"/>
    <row r="252" s="103" customFormat="1" ht="42" customHeight="1" x14ac:dyDescent="0.25"/>
    <row r="253" s="103" customFormat="1" ht="42" customHeight="1" x14ac:dyDescent="0.25"/>
    <row r="254" s="103" customFormat="1" ht="42" customHeight="1" x14ac:dyDescent="0.25"/>
    <row r="255" s="103" customFormat="1" ht="42" customHeight="1" x14ac:dyDescent="0.25"/>
    <row r="256" s="103" customFormat="1" ht="42" customHeight="1" x14ac:dyDescent="0.25"/>
    <row r="257" s="103" customFormat="1" ht="42" customHeight="1" x14ac:dyDescent="0.25"/>
    <row r="258" s="103" customFormat="1" ht="42" customHeight="1" x14ac:dyDescent="0.25"/>
    <row r="259" s="103" customFormat="1" ht="42" customHeight="1" x14ac:dyDescent="0.25"/>
    <row r="260" s="103" customFormat="1" ht="42" customHeight="1" x14ac:dyDescent="0.25"/>
    <row r="261" s="103" customFormat="1" ht="42" customHeight="1" x14ac:dyDescent="0.25"/>
    <row r="262" s="103" customFormat="1" ht="42" customHeight="1" x14ac:dyDescent="0.25"/>
    <row r="263" s="103" customFormat="1" ht="42" customHeight="1" x14ac:dyDescent="0.25"/>
    <row r="264" s="103" customFormat="1" ht="42" customHeight="1" x14ac:dyDescent="0.25"/>
    <row r="265" s="103" customFormat="1" ht="42" customHeight="1" x14ac:dyDescent="0.25"/>
    <row r="266" s="103" customFormat="1" ht="42" customHeight="1" x14ac:dyDescent="0.25"/>
    <row r="267" s="103" customFormat="1" ht="42" customHeight="1" x14ac:dyDescent="0.25"/>
    <row r="268" s="103" customFormat="1" ht="42" customHeight="1" x14ac:dyDescent="0.25"/>
    <row r="269" s="103" customFormat="1" ht="42" customHeight="1" x14ac:dyDescent="0.25"/>
    <row r="270" s="103" customFormat="1" ht="42" customHeight="1" x14ac:dyDescent="0.25"/>
    <row r="271" s="103" customFormat="1" ht="42" customHeight="1" x14ac:dyDescent="0.25"/>
    <row r="272" s="103" customFormat="1" ht="42" customHeight="1" x14ac:dyDescent="0.25"/>
    <row r="273" s="103" customFormat="1" ht="42" customHeight="1" x14ac:dyDescent="0.25"/>
    <row r="274" s="103" customFormat="1" ht="42" customHeight="1" x14ac:dyDescent="0.25"/>
    <row r="275" s="103" customFormat="1" ht="42" customHeight="1" x14ac:dyDescent="0.25"/>
    <row r="276" s="103" customFormat="1" ht="42" customHeight="1" x14ac:dyDescent="0.25"/>
    <row r="277" s="103" customFormat="1" ht="42" customHeight="1" x14ac:dyDescent="0.25"/>
    <row r="278" s="103" customFormat="1" ht="42" customHeight="1" x14ac:dyDescent="0.25"/>
    <row r="279" s="103" customFormat="1" ht="42" customHeight="1" x14ac:dyDescent="0.25"/>
    <row r="280" s="103" customFormat="1" ht="42" customHeight="1" x14ac:dyDescent="0.25"/>
    <row r="281" s="103" customFormat="1" ht="42" customHeight="1" x14ac:dyDescent="0.25"/>
    <row r="282" s="103" customFormat="1" ht="42" customHeight="1" x14ac:dyDescent="0.25"/>
    <row r="283" s="103" customFormat="1" ht="42" customHeight="1" x14ac:dyDescent="0.25"/>
    <row r="284" s="103" customFormat="1" ht="42" customHeight="1" x14ac:dyDescent="0.25"/>
    <row r="285" s="103" customFormat="1" ht="42" customHeight="1" x14ac:dyDescent="0.25"/>
    <row r="286" s="103" customFormat="1" ht="42" customHeight="1" x14ac:dyDescent="0.25"/>
    <row r="287" s="103" customFormat="1" ht="42" customHeight="1" x14ac:dyDescent="0.25"/>
    <row r="288" s="103" customFormat="1" ht="42" customHeight="1" x14ac:dyDescent="0.25"/>
    <row r="289" s="103" customFormat="1" ht="42" customHeight="1" x14ac:dyDescent="0.25"/>
    <row r="290" s="103" customFormat="1" ht="42" customHeight="1" x14ac:dyDescent="0.25"/>
    <row r="291" s="103" customFormat="1" ht="42" customHeight="1" x14ac:dyDescent="0.25"/>
    <row r="292" s="103" customFormat="1" ht="42" customHeight="1" x14ac:dyDescent="0.25"/>
    <row r="293" s="103" customFormat="1" ht="42" customHeight="1" x14ac:dyDescent="0.25"/>
    <row r="294" s="103" customFormat="1" ht="42" customHeight="1" x14ac:dyDescent="0.25"/>
    <row r="295" s="103" customFormat="1" ht="42" customHeight="1" x14ac:dyDescent="0.25"/>
    <row r="296" s="103" customFormat="1" ht="42" customHeight="1" x14ac:dyDescent="0.25"/>
    <row r="297" s="103" customFormat="1" ht="42" customHeight="1" x14ac:dyDescent="0.25"/>
    <row r="298" s="103" customFormat="1" ht="42" customHeight="1" x14ac:dyDescent="0.25"/>
    <row r="299" s="103" customFormat="1" ht="42" customHeight="1" x14ac:dyDescent="0.25"/>
    <row r="300" s="103" customFormat="1" ht="42" customHeight="1" x14ac:dyDescent="0.25"/>
    <row r="301" s="103" customFormat="1" ht="42" customHeight="1" x14ac:dyDescent="0.25"/>
    <row r="302" s="103" customFormat="1" ht="42" customHeight="1" x14ac:dyDescent="0.25"/>
    <row r="303" s="103" customFormat="1" ht="42" customHeight="1" x14ac:dyDescent="0.25"/>
    <row r="304" s="103" customFormat="1" ht="42" customHeight="1" x14ac:dyDescent="0.25"/>
  </sheetData>
  <mergeCells count="14">
    <mergeCell ref="J21:L21"/>
    <mergeCell ref="J23:L23"/>
    <mergeCell ref="J24:L24"/>
    <mergeCell ref="A25:N25"/>
    <mergeCell ref="J14:L14"/>
    <mergeCell ref="J15:L15"/>
    <mergeCell ref="J16:L16"/>
    <mergeCell ref="J19:L19"/>
    <mergeCell ref="J20:L20"/>
    <mergeCell ref="A1:M1"/>
    <mergeCell ref="J4:L4"/>
    <mergeCell ref="J5:L5"/>
    <mergeCell ref="J12:L12"/>
    <mergeCell ref="J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5-22-09</vt:lpstr>
      <vt:lpstr>5-18-12</vt:lpstr>
      <vt:lpstr>10-19-12</vt:lpstr>
      <vt:lpstr>5-17-13</vt:lpstr>
      <vt:lpstr>10-18-13</vt:lpstr>
      <vt:lpstr>5-30-14</vt:lpstr>
      <vt:lpstr>10-24-14</vt:lpstr>
      <vt:lpstr>10-16-15</vt:lpstr>
      <vt:lpstr>5-27-16</vt:lpstr>
      <vt:lpstr>10-28-16</vt:lpstr>
      <vt:lpstr>5-19-17</vt:lpstr>
      <vt:lpstr>10-27-17</vt:lpstr>
      <vt:lpstr>5-18-18</vt:lpstr>
      <vt:lpstr>10-19-18</vt:lpstr>
      <vt:lpstr>5-10-19</vt:lpstr>
      <vt:lpstr>10-18-19</vt:lpstr>
      <vt:lpstr>9-18-2020</vt:lpstr>
      <vt:lpstr>5-14-2021</vt:lpstr>
      <vt:lpstr>10-29-2021</vt:lpstr>
      <vt:lpstr>5-27-2022</vt:lpstr>
      <vt:lpstr>10-28-2022</vt:lpstr>
      <vt:lpstr>5-26-2023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Lindsay McCullough</cp:lastModifiedBy>
  <cp:lastPrinted>2022-11-01T15:42:56Z</cp:lastPrinted>
  <dcterms:created xsi:type="dcterms:W3CDTF">2014-06-12T12:23:23Z</dcterms:created>
  <dcterms:modified xsi:type="dcterms:W3CDTF">2023-05-26T16:40:26Z</dcterms:modified>
  <cp:contentStatus/>
</cp:coreProperties>
</file>